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CMD and Information/"/>
    </mc:Choice>
  </mc:AlternateContent>
  <xr:revisionPtr revIDLastSave="0" documentId="8_{0AFB36D3-4CD7-4F47-AF99-7543704EB281}" xr6:coauthVersionLast="47" xr6:coauthVersionMax="47" xr10:uidLastSave="{00000000-0000-0000-0000-000000000000}"/>
  <workbookProtection workbookAlgorithmName="SHA-512" workbookHashValue="9TC3+LlSG1bhSzFzR2ssiaNjL1ren0hVPJs8FIGV03X7A+JdXLdubk4qr3G5q/qpVWqkVIzds9C4MSr6IBGIhA==" workbookSaltValue="jG8jRAosJHJ8S/O+XOV0aA==" workbookSpinCount="100000" lockStructure="1"/>
  <bookViews>
    <workbookView xWindow="-120" yWindow="-120" windowWidth="29040" windowHeight="18240" tabRatio="834" firstSheet="1" activeTab="1" xr2:uid="{00000000-000D-0000-FFFF-FFFF00000000}"/>
  </bookViews>
  <sheets>
    <sheet name="TRIAL BATCH WORKSHEET" sheetId="9" state="hidden" r:id="rId1"/>
    <sheet name="CMDS" sheetId="1" r:id="rId2"/>
    <sheet name="FBMD" sheetId="16" r:id="rId3"/>
    <sheet name="Gradation" sheetId="13" r:id="rId4"/>
    <sheet name="Sheet2" sheetId="2" state="hidden" r:id="rId5"/>
    <sheet name="AGG SOURCES" sheetId="15" state="hidden" r:id="rId6"/>
    <sheet name="CEMENT &amp; POZZOLAN SOURCES" sheetId="11" state="hidden" r:id="rId7"/>
    <sheet name="ADMIXTURES" sheetId="12" state="hidden" r:id="rId8"/>
    <sheet name="Contract Approval Log" sheetId="4" r:id="rId9"/>
  </sheets>
  <externalReferences>
    <externalReference r:id="rId10"/>
  </externalReferences>
  <definedNames>
    <definedName name="_xlnm._FilterDatabase" localSheetId="1" hidden="1">CMDS!$A$27:$P$47</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7">ADMIXTURES!$H$309</definedName>
    <definedName name="Pozzolan">'[1]SM652 English'!$AD$61:$AN$66</definedName>
    <definedName name="Pozzsrc">'[1]SM652 English'!$A$90:$BA$124</definedName>
    <definedName name="_xlnm.Print_Area" localSheetId="1">CMDS!$A$1:$AI$57</definedName>
    <definedName name="_xlnm.Print_Area" localSheetId="8">'Contract Approval Log'!$A$1:$AG$26</definedName>
    <definedName name="_xlnm.Print_Area" localSheetId="2">FBMD!$A$1:$AI$57</definedName>
    <definedName name="_xlnm.Print_Area" localSheetId="3">Gradation!$A$22:$Q$89</definedName>
    <definedName name="_xlnm.Print_Area" localSheetId="4">Sheet2!$A$1:$AC$64</definedName>
    <definedName name="_xlnm.Print_Area" localSheetId="0">'TRIAL BATCH WORKSHEET'!$A$1:$AC$167</definedName>
    <definedName name="VMA" localSheetId="2">FBMD!$R$7:$S$12</definedName>
    <definedName name="VMA">CMDS!$R$7:$S$12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 i="16" l="1"/>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A37" i="16"/>
  <c r="AR36" i="16"/>
  <c r="AA36" i="16"/>
  <c r="AR111" i="16" s="1"/>
  <c r="AR35" i="16"/>
  <c r="AA34" i="16"/>
  <c r="AR109" i="16" s="1"/>
  <c r="AR83" i="16"/>
  <c r="AR33" i="16"/>
  <c r="AR80" i="16"/>
  <c r="AR32" i="16"/>
  <c r="AR74" i="16"/>
  <c r="AR30" i="16"/>
  <c r="AA30" i="16"/>
  <c r="AR105" i="16" s="1"/>
  <c r="AR29" i="16"/>
  <c r="AA29" i="16"/>
  <c r="AR104" i="16" s="1"/>
  <c r="AR28" i="16"/>
  <c r="AA28" i="16"/>
  <c r="AR103" i="16" s="1"/>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G6" i="1"/>
  <c r="C4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U23" i="1"/>
  <c r="D23" i="1"/>
  <c r="A23" i="1"/>
  <c r="A276" i="15"/>
  <c r="AA34" i="1"/>
  <c r="AA38" i="1"/>
  <c r="D21" i="1" l="1"/>
  <c r="A115" i="15"/>
  <c r="A143" i="15"/>
  <c r="A33" i="15"/>
  <c r="AA40" i="1"/>
  <c r="X24" i="1" l="1"/>
  <c r="X22" i="1"/>
  <c r="X21" i="1"/>
  <c r="X20" i="1"/>
  <c r="U24" i="1"/>
  <c r="U22" i="1"/>
  <c r="U21" i="1"/>
  <c r="U20" i="1"/>
  <c r="A24" i="1"/>
  <c r="A22" i="1"/>
  <c r="A21" i="1"/>
  <c r="A20" i="1"/>
  <c r="D24" i="1"/>
  <c r="D20" i="1"/>
  <c r="T113" i="9" l="1"/>
  <c r="T110" i="9"/>
  <c r="T107" i="9"/>
  <c r="T104" i="9"/>
  <c r="T101" i="9"/>
  <c r="T98" i="9"/>
  <c r="K113" i="9"/>
  <c r="K110" i="9"/>
  <c r="K107" i="9"/>
  <c r="K104" i="9"/>
  <c r="K101" i="9"/>
  <c r="K98" i="9"/>
  <c r="AA30" i="1" l="1"/>
  <c r="AA43" i="1" l="1"/>
  <c r="M46" i="1" l="1"/>
  <c r="A16" i="1" l="1"/>
  <c r="M12"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6" i="2"/>
  <c r="G44" i="2"/>
  <c r="G47" i="2" s="1"/>
  <c r="G17" i="2"/>
  <c r="AA33" i="16" s="1"/>
  <c r="AR108" i="16" s="1"/>
  <c r="G29" i="2"/>
  <c r="G33" i="2" s="1"/>
  <c r="G36" i="2"/>
  <c r="G40" i="2" s="1"/>
  <c r="G8" i="2"/>
  <c r="G9" i="2" s="1"/>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6" i="1"/>
  <c r="AR5" i="1"/>
  <c r="AR4" i="1"/>
  <c r="AR3" i="1"/>
  <c r="P2" i="9"/>
  <c r="J2" i="9"/>
  <c r="N88" i="9"/>
  <c r="N89" i="9" s="1"/>
  <c r="H88" i="9"/>
  <c r="H89" i="9" s="1"/>
  <c r="A16" i="4"/>
  <c r="U16" i="4"/>
  <c r="G16" i="4"/>
  <c r="G4" i="4"/>
  <c r="H3" i="4"/>
  <c r="B79" i="9"/>
  <c r="F4" i="9"/>
  <c r="X12" i="1"/>
  <c r="A55" i="9"/>
  <c r="AR117" i="1"/>
  <c r="S12" i="1"/>
  <c r="S42" i="1"/>
  <c r="AA42" i="1" s="1"/>
  <c r="AR116" i="1" s="1"/>
  <c r="U66" i="9"/>
  <c r="G24" i="2"/>
  <c r="G25" i="2" s="1"/>
  <c r="M16" i="4"/>
  <c r="J16" i="4"/>
  <c r="AR114" i="1"/>
  <c r="G50" i="2"/>
  <c r="G51" i="2" s="1"/>
  <c r="G52" i="2" s="1"/>
  <c r="G8" i="4"/>
  <c r="G7" i="4"/>
  <c r="F5" i="4"/>
  <c r="S43" i="1"/>
  <c r="A6" i="2"/>
  <c r="J6" i="2" s="1"/>
  <c r="A5" i="2"/>
  <c r="J5" i="2" s="1"/>
  <c r="A4" i="2"/>
  <c r="J4" i="2" s="1"/>
  <c r="A3" i="2"/>
  <c r="J3" i="2" s="1"/>
  <c r="U64" i="9"/>
  <c r="U63" i="9"/>
  <c r="AA35" i="16" l="1"/>
  <c r="AR110" i="16" s="1"/>
  <c r="AE6" i="13"/>
  <c r="AE2" i="13"/>
  <c r="AE3" i="13"/>
  <c r="AE7" i="13"/>
  <c r="T86" i="9"/>
  <c r="T91" i="9" s="1"/>
  <c r="H86" i="9"/>
  <c r="N86" i="9"/>
  <c r="N91" i="9" s="1"/>
  <c r="AA41" i="1"/>
  <c r="AR115" i="1" s="1"/>
  <c r="AR109" i="1"/>
  <c r="U33" i="9"/>
  <c r="O19" i="9" s="1"/>
  <c r="Y33" i="9"/>
  <c r="V16" i="9" s="1"/>
  <c r="AR71" i="1"/>
  <c r="AA33" i="9"/>
  <c r="V19" i="9" s="1"/>
  <c r="I50" i="9"/>
  <c r="Q50" i="9" s="1"/>
  <c r="W50" i="9" s="1"/>
  <c r="G19" i="2"/>
  <c r="J7" i="2"/>
  <c r="G14" i="2"/>
  <c r="Q33" i="9"/>
  <c r="H22" i="9" s="1"/>
  <c r="I54" i="9" s="1"/>
  <c r="Q39" i="9" s="1"/>
  <c r="AC33" i="9"/>
  <c r="V22" i="9" s="1"/>
  <c r="M33" i="9"/>
  <c r="H16" i="9" s="1"/>
  <c r="I52" i="9" s="1"/>
  <c r="G39" i="9" s="1"/>
  <c r="W33" i="9"/>
  <c r="O22" i="9" s="1"/>
  <c r="Q49" i="9"/>
  <c r="W49" i="9" s="1"/>
  <c r="Q55" i="9"/>
  <c r="O33" i="9"/>
  <c r="H19" i="9" s="1"/>
  <c r="I53" i="9" s="1"/>
  <c r="I39" i="9" s="1"/>
  <c r="AR25" i="1"/>
  <c r="H91" i="9"/>
  <c r="G31" i="2"/>
  <c r="G32" i="2" s="1"/>
  <c r="S33" i="9"/>
  <c r="O16" i="9" s="1"/>
  <c r="AR11" i="1"/>
  <c r="E15" i="13"/>
  <c r="AR112" i="1"/>
  <c r="Q51" i="9"/>
  <c r="W51" i="9" s="1"/>
  <c r="E17" i="13"/>
  <c r="E13" i="13"/>
  <c r="AR17" i="1"/>
  <c r="E14" i="13"/>
  <c r="A12" i="1"/>
  <c r="E16" i="13"/>
  <c r="Q48" i="9"/>
  <c r="G10" i="2"/>
  <c r="G34" i="2"/>
  <c r="G53" i="2"/>
  <c r="G11" i="2"/>
  <c r="G38" i="2"/>
  <c r="G39" i="2" s="1"/>
  <c r="G26" i="2"/>
  <c r="AR44" i="1"/>
  <c r="G41" i="2"/>
  <c r="G48" i="2"/>
  <c r="AA35" i="1"/>
  <c r="AR110" i="1" s="1"/>
  <c r="G21" i="2"/>
  <c r="AA32" i="16" s="1"/>
  <c r="O18" i="9"/>
  <c r="V18" i="9" s="1"/>
  <c r="W47" i="9"/>
  <c r="K7" i="13"/>
  <c r="K13" i="13"/>
  <c r="H4" i="13"/>
  <c r="N43" i="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G20" i="2" l="1"/>
  <c r="AA31" i="16"/>
  <c r="AC32" i="16"/>
  <c r="AR107" i="16" s="1"/>
  <c r="M15" i="13"/>
  <c r="O65" i="9"/>
  <c r="AA44" i="1"/>
  <c r="N44" i="1"/>
  <c r="AA39" i="1" s="1"/>
  <c r="S16" i="4" s="1"/>
  <c r="H81" i="9"/>
  <c r="T81" i="9"/>
  <c r="AA28" i="1"/>
  <c r="AR103" i="1" s="1"/>
  <c r="AA29" i="1"/>
  <c r="G18" i="2"/>
  <c r="AR105" i="1" s="1"/>
  <c r="O67" i="9"/>
  <c r="W48" i="9"/>
  <c r="S39" i="9"/>
  <c r="M39" i="9"/>
  <c r="O66" i="9"/>
  <c r="AA31" i="1"/>
  <c r="AC31" i="1" s="1"/>
  <c r="AR106" i="1" s="1"/>
  <c r="Q54" i="9"/>
  <c r="W54" i="9" s="1"/>
  <c r="W39" i="9"/>
  <c r="K39" i="9"/>
  <c r="G30" i="2"/>
  <c r="N81" i="9"/>
  <c r="E20" i="13"/>
  <c r="U39" i="9"/>
  <c r="I56" i="9"/>
  <c r="Q56" i="9" s="1"/>
  <c r="W56" i="9" s="1"/>
  <c r="Q53" i="9"/>
  <c r="W53" i="9" s="1"/>
  <c r="Q52" i="9"/>
  <c r="O64" i="9"/>
  <c r="O63" i="9"/>
  <c r="O39" i="9"/>
  <c r="G12" i="2"/>
  <c r="G37" i="2"/>
  <c r="G22"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C31" i="16" l="1"/>
  <c r="AR106" i="16" s="1"/>
  <c r="AE12" i="13"/>
  <c r="W13" i="13"/>
  <c r="AE11" i="13"/>
  <c r="D41" i="13"/>
  <c r="D43" i="13"/>
  <c r="R16" i="13"/>
  <c r="R13" i="13"/>
  <c r="R15" i="13"/>
  <c r="AR104" i="1"/>
  <c r="AA33" i="1"/>
  <c r="AR108" i="1" s="1"/>
  <c r="Q57" i="9"/>
  <c r="I57" i="9"/>
  <c r="W52" i="9"/>
  <c r="AC32" i="1"/>
  <c r="AR107" i="1" s="1"/>
  <c r="AR113" i="1"/>
  <c r="AB43" i="13" l="1"/>
  <c r="AB44" i="13"/>
  <c r="AB42" i="13"/>
  <c r="AB41" i="13"/>
  <c r="R19" i="13"/>
  <c r="AC44" i="13" l="1"/>
  <c r="AA37" i="1" s="1"/>
  <c r="AC43" i="13"/>
  <c r="AA36" i="1" s="1"/>
  <c r="AR111" i="1" s="1"/>
</calcChain>
</file>

<file path=xl/sharedStrings.xml><?xml version="1.0" encoding="utf-8"?>
<sst xmlns="http://schemas.openxmlformats.org/spreadsheetml/2006/main" count="3288" uniqueCount="1868">
  <si>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</si>
  <si>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</si>
  <si>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</si>
  <si>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</si>
  <si>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</si>
  <si>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</si>
  <si>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</si>
  <si>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</si>
  <si>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</si>
  <si>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</si>
  <si>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</si>
  <si>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</si>
  <si>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</si>
  <si>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</si>
  <si>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</si>
  <si>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</si>
  <si>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</si>
  <si>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</si>
  <si>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</si>
  <si>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</si>
  <si>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</si>
  <si>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</si>
  <si>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</si>
  <si>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</si>
  <si>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</si>
  <si>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</si>
  <si>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</si>
  <si>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</si>
  <si>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</si>
  <si>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</si>
  <si>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</si>
  <si>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</si>
  <si>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</si>
  <si>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</si>
  <si>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</si>
  <si>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</si>
  <si>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</si>
  <si>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</si>
  <si>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</si>
  <si>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</si>
  <si>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</si>
  <si>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</si>
  <si>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</si>
  <si>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</si>
  <si>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</si>
  <si>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</si>
  <si>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</si>
  <si>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</si>
  <si>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</si>
  <si>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</si>
  <si>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</si>
  <si>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</si>
  <si>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</si>
  <si>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</si>
  <si>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</si>
  <si>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</si>
  <si>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</si>
  <si>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</si>
  <si>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</si>
  <si>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</si>
  <si>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</si>
  <si>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</si>
  <si>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</si>
  <si>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</si>
  <si>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</si>
  <si>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</si>
  <si>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</si>
  <si>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</si>
  <si>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</si>
  <si>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</si>
  <si>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</si>
  <si>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</si>
  <si>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</si>
  <si>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</si>
  <si>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</si>
  <si>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</si>
  <si>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</si>
  <si>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</si>
  <si>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</si>
  <si>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</si>
  <si>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</si>
  <si>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</si>
  <si>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</si>
  <si>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</si>
  <si>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</si>
  <si>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</si>
  <si>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</si>
  <si>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</si>
  <si>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</si>
  <si>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</si>
  <si>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</si>
  <si>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</si>
  <si>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</si>
  <si>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</si>
  <si>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</si>
  <si>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</si>
  <si>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</si>
  <si>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</si>
  <si>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</si>
  <si>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</si>
  <si>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</si>
  <si>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</si>
  <si>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</si>
  <si>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</si>
  <si>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</si>
  <si>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</si>
  <si>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</si>
  <si>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</si>
  <si>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</si>
  <si>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</si>
  <si>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</si>
  <si>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</si>
  <si>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</si>
  <si>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</si>
  <si>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</si>
  <si>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</si>
  <si>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</si>
  <si>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</si>
  <si>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</si>
  <si>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</si>
  <si>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</si>
  <si>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</si>
  <si>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</si>
  <si>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</si>
  <si>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</si>
  <si>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</si>
  <si>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</si>
  <si>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</si>
  <si>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</si>
  <si>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</si>
  <si>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</si>
  <si>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</si>
  <si>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</si>
  <si>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</si>
  <si>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</si>
  <si>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</si>
  <si>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</si>
  <si>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</si>
  <si>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</si>
  <si>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</si>
  <si>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</si>
  <si>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</si>
  <si>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</si>
  <si>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</si>
  <si>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</si>
  <si>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</si>
  <si>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</si>
  <si>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</si>
  <si>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</si>
  <si>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</si>
  <si>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</si>
  <si>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</si>
  <si>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</si>
  <si>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</si>
  <si>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</si>
  <si>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</si>
  <si>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</si>
  <si>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</si>
  <si>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</si>
  <si>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</si>
  <si>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</si>
  <si>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</si>
  <si>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</si>
  <si>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</si>
  <si>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</si>
  <si>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</si>
  <si>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</si>
  <si>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</si>
  <si>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</si>
  <si>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</si>
  <si>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</si>
  <si>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</si>
  <si>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</si>
  <si>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</si>
  <si>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</si>
  <si>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</si>
  <si>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</si>
  <si>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</si>
  <si>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</si>
  <si>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</si>
  <si>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</si>
  <si>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</si>
  <si>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</si>
  <si>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</si>
  <si>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</si>
  <si>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</si>
  <si>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</si>
  <si>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</si>
  <si>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</si>
  <si>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</si>
  <si>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</si>
  <si>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</si>
  <si>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</si>
  <si>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</si>
  <si>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</si>
  <si>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</si>
  <si>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</si>
  <si>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</si>
  <si>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</si>
  <si>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</si>
  <si>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SIKAPLAST-300GP</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</si>
  <si>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</si>
  <si>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</si>
  <si>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</si>
  <si>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</si>
  <si>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</si>
  <si>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</si>
  <si>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</si>
  <si>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</si>
  <si>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</si>
  <si>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</si>
  <si>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</si>
  <si>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</si>
  <si>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</si>
  <si>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</si>
  <si>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</si>
  <si>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</si>
  <si>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</si>
  <si>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</si>
  <si>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</si>
  <si>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</si>
  <si>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</si>
  <si>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</si>
  <si>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</si>
  <si>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</si>
  <si>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</si>
  <si>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</si>
  <si>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</si>
  <si>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</si>
  <si>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</si>
  <si>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</si>
  <si>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</si>
  <si>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</si>
  <si>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</si>
  <si>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</si>
  <si>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</si>
  <si>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</si>
  <si>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</si>
  <si>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</si>
  <si>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</si>
  <si>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</si>
  <si>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</si>
  <si>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</si>
  <si>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</si>
  <si>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</si>
  <si>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</si>
  <si>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</si>
  <si>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</si>
  <si>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</si>
  <si>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</si>
  <si>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</si>
  <si>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</si>
  <si>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</si>
  <si>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</si>
  <si>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</si>
  <si>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</si>
  <si>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</si>
  <si>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</si>
  <si>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</si>
  <si>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</si>
  <si>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</si>
  <si>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</si>
  <si>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</si>
  <si>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</si>
  <si>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</si>
  <si>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</si>
  <si>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</si>
  <si>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</si>
  <si>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</si>
  <si>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</si>
  <si>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</si>
  <si>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</si>
  <si>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</si>
  <si>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</si>
  <si>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</si>
  <si>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</si>
  <si>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</si>
  <si>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</si>
  <si>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</si>
  <si>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</si>
  <si>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</si>
  <si>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</si>
  <si>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</si>
  <si>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</si>
  <si>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</si>
  <si>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</si>
  <si>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</si>
  <si>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</si>
  <si>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</si>
  <si>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</si>
  <si>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</si>
  <si>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</si>
  <si>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</si>
  <si>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</si>
  <si>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</si>
  <si>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</si>
  <si>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</si>
  <si>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</si>
  <si>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</si>
  <si>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</si>
  <si>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</si>
  <si>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</si>
  <si>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</si>
  <si>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</si>
  <si>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</si>
  <si>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</si>
  <si>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</si>
  <si>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</si>
  <si>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</si>
  <si>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</si>
  <si>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</si>
  <si>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</si>
  <si>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</si>
  <si>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</si>
  <si>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</si>
  <si>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</si>
  <si>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</si>
  <si>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</si>
  <si>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</si>
  <si>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</si>
  <si>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</si>
  <si>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</si>
  <si>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</si>
  <si>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</si>
  <si>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</si>
  <si>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</si>
  <si>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</si>
  <si>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</si>
  <si>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</si>
  <si>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</si>
  <si>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</si>
  <si>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</si>
  <si>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</si>
  <si>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</si>
  <si>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</si>
  <si>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</si>
  <si>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</si>
  <si>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</si>
  <si>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</si>
  <si>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</si>
  <si>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</si>
  <si>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</si>
  <si>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</si>
  <si>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</si>
  <si>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</si>
  <si>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</si>
  <si>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</si>
  <si>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</si>
  <si>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</si>
  <si>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</si>
  <si>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</si>
  <si>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</si>
  <si>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</si>
  <si>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</si>
  <si>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</si>
  <si>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</si>
  <si>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</si>
  <si>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</si>
  <si>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</si>
  <si>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</si>
  <si>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</si>
  <si>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</si>
  <si>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</si>
  <si>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</si>
  <si>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</si>
  <si>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</si>
  <si>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</si>
  <si>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</si>
  <si>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</si>
  <si>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</si>
  <si>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</si>
  <si>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</si>
  <si>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</si>
  <si>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</si>
  <si>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</si>
  <si>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</si>
  <si>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</si>
  <si>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</si>
  <si>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</si>
  <si>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</si>
  <si>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</si>
  <si>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</si>
  <si>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</si>
  <si>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</si>
  <si>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</si>
  <si>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</si>
  <si>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</si>
  <si>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</si>
  <si>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</si>
  <si>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 xml:space="preserve">502 Stand, 702 Class A, </t>
  </si>
  <si>
    <t>706 Slab or SP735Class A</t>
  </si>
  <si>
    <t>Cement Reduction</t>
  </si>
  <si>
    <t>fly ash replace ratio</t>
  </si>
  <si>
    <t>Slag Cement replace ratio</t>
  </si>
  <si>
    <t>502 Hi Early Strength</t>
  </si>
  <si>
    <t>fly ash addition, %</t>
  </si>
  <si>
    <t>Slag Cement addition, %</t>
  </si>
  <si>
    <t>702 Class B or</t>
  </si>
  <si>
    <t>SP 735 Class B</t>
  </si>
  <si>
    <t>fly ash repl. Ratio</t>
  </si>
  <si>
    <t>Slag Cement repl. Ratio</t>
  </si>
  <si>
    <t>702 Class C Concrete</t>
  </si>
  <si>
    <t>Slag Cement  use</t>
  </si>
  <si>
    <t>Slag Cement  replace ratio</t>
  </si>
  <si>
    <t xml:space="preserve">709 Class A or C in </t>
  </si>
  <si>
    <t xml:space="preserve"> lieu of surface seal</t>
  </si>
  <si>
    <t xml:space="preserve">% Slag Cement </t>
  </si>
  <si>
    <t>722 LMC overlay</t>
  </si>
  <si>
    <t>Cement reduction</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</si>
  <si>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</si>
  <si>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</si>
  <si>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</si>
  <si>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</si>
  <si>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</si>
  <si>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</si>
  <si>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</si>
  <si>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</si>
  <si>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</si>
  <si>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</si>
  <si>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</si>
  <si>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</si>
  <si>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</si>
  <si>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</si>
  <si>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</si>
  <si>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</si>
  <si>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</si>
  <si>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</si>
  <si>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</si>
  <si>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</si>
  <si>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</si>
  <si>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</si>
  <si>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</si>
  <si>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</si>
  <si>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</si>
  <si>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</si>
  <si>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</si>
  <si>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</si>
  <si>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</si>
  <si>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</si>
  <si>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</si>
  <si>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</si>
  <si>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</si>
  <si>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</si>
  <si>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</si>
  <si>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</si>
  <si>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</si>
  <si>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</si>
  <si>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</si>
  <si>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</si>
  <si>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</si>
  <si>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</si>
  <si>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</si>
  <si>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</si>
  <si>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</si>
  <si>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</si>
  <si>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</si>
  <si>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</si>
  <si>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</si>
  <si>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</si>
  <si>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</si>
  <si>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</si>
  <si>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</si>
  <si>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</si>
  <si>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</si>
  <si>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</si>
  <si>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</si>
  <si>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</si>
  <si>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</si>
  <si>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</si>
  <si>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</si>
  <si>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</si>
  <si>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</si>
  <si>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</si>
  <si>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</si>
  <si>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</si>
  <si>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</si>
  <si>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</si>
  <si>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</si>
  <si>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</si>
  <si>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</si>
  <si>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</si>
  <si>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</si>
  <si>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</si>
  <si>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</si>
  <si>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</si>
  <si>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</si>
  <si>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</si>
  <si>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</si>
  <si>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</si>
  <si>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</si>
  <si>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</si>
  <si>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</si>
  <si>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</si>
  <si>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</si>
  <si>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</si>
  <si>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</si>
  <si>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</si>
  <si>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</si>
  <si>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</si>
  <si>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</si>
  <si>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</si>
  <si>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</si>
  <si>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</si>
  <si>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</si>
  <si>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</si>
  <si>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</si>
  <si>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</si>
  <si>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</si>
  <si>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</si>
  <si>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</si>
  <si>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</si>
  <si>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</si>
  <si>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</si>
  <si>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</si>
  <si>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</si>
  <si>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</si>
  <si>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</si>
  <si>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</si>
  <si>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</si>
  <si>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</si>
  <si>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</si>
  <si>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</si>
  <si>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</si>
  <si>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</si>
  <si>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</si>
  <si>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</si>
  <si>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</si>
  <si>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</si>
  <si>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</si>
  <si>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</si>
  <si>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</si>
  <si>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</si>
  <si>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</si>
  <si>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</si>
  <si>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</si>
  <si>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</si>
  <si>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</si>
  <si>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</si>
  <si>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</si>
  <si>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</si>
  <si>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</si>
  <si>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</si>
  <si>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</si>
  <si>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</si>
  <si>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</si>
  <si>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</si>
  <si>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</si>
  <si>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</si>
  <si>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</si>
  <si>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</si>
  <si>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</si>
  <si>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</si>
  <si>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</si>
  <si>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</si>
  <si>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</si>
  <si>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</si>
  <si>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</si>
  <si>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</si>
  <si>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</si>
  <si>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</si>
  <si>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</si>
  <si>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</si>
  <si>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</si>
  <si>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</si>
  <si>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</si>
  <si>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</si>
  <si>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</si>
  <si>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</si>
  <si>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</si>
  <si>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</si>
  <si>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</si>
  <si>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</si>
  <si>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</si>
  <si>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</si>
  <si>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</si>
  <si>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</si>
  <si>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</si>
  <si>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</si>
  <si>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</si>
  <si>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</si>
  <si>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</si>
  <si>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</si>
  <si>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</si>
  <si>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</si>
  <si>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</si>
  <si>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</si>
  <si>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</si>
  <si>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</si>
  <si>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</si>
  <si>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</si>
  <si>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</si>
  <si>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</si>
  <si>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</si>
  <si>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</si>
  <si>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</si>
  <si>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</si>
  <si>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</si>
  <si>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</si>
  <si>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</si>
  <si>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</si>
  <si>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</si>
  <si>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</si>
  <si>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</si>
  <si>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</si>
  <si>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</si>
  <si>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</si>
  <si>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</si>
  <si>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</si>
  <si>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</si>
  <si>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</si>
  <si>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</si>
  <si>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</si>
  <si>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</si>
  <si>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</si>
  <si>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</si>
  <si>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</si>
  <si>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</si>
  <si>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</si>
  <si>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</si>
  <si>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</si>
  <si>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</si>
  <si>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</si>
  <si>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</si>
  <si>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</si>
  <si>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</si>
  <si>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</si>
  <si>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</si>
  <si>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</si>
  <si>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</si>
  <si>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</si>
  <si>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</si>
  <si>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</si>
  <si>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</si>
  <si>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</si>
  <si>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</si>
  <si>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</si>
  <si>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</si>
  <si>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</si>
  <si>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</si>
  <si>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</si>
  <si>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</si>
  <si>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</si>
  <si>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</si>
  <si>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</si>
  <si>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</si>
  <si>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</si>
  <si>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</si>
  <si>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</si>
  <si>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</si>
  <si>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</si>
  <si>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</si>
  <si>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</si>
  <si>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</si>
  <si>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</si>
  <si>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</si>
  <si>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</si>
  <si>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</si>
  <si>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</si>
  <si>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</si>
  <si>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</si>
  <si>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</si>
  <si>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</si>
  <si>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</si>
  <si>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</si>
  <si>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</si>
  <si>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</si>
  <si>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</si>
  <si>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</si>
  <si>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</si>
  <si>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</si>
  <si>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</si>
  <si>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</si>
  <si>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</si>
  <si>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</si>
  <si>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</si>
  <si>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</si>
  <si>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</si>
  <si>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</si>
  <si>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</si>
  <si>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</si>
  <si>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</si>
  <si>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</si>
  <si>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</si>
  <si>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</si>
  <si>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</si>
  <si>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</si>
  <si>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</si>
  <si>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</si>
  <si>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</si>
  <si>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</si>
  <si>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</si>
  <si>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</si>
  <si>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</si>
  <si>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</si>
  <si>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</si>
  <si>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</si>
  <si>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</si>
  <si>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</si>
  <si>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</si>
  <si>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</si>
  <si>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</si>
  <si>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</si>
  <si>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</si>
  <si>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</si>
  <si>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</si>
  <si>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</si>
  <si>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</si>
  <si>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</si>
  <si>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</si>
  <si>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</si>
  <si>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</si>
  <si>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</si>
  <si>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</si>
  <si>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</si>
  <si>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</si>
  <si>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</si>
  <si>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</si>
  <si>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</si>
  <si>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</si>
  <si>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</si>
  <si>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</si>
  <si>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</si>
  <si>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</si>
  <si>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</si>
  <si>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</si>
  <si>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</si>
  <si>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</si>
  <si>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</si>
  <si>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</si>
  <si>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</si>
  <si>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</si>
  <si>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</si>
  <si>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</si>
  <si>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</si>
  <si>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</si>
  <si>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</si>
  <si>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</si>
  <si>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</si>
  <si>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</si>
  <si>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</si>
  <si>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</si>
  <si>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</si>
  <si>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</si>
  <si>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</si>
  <si>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</si>
  <si>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</si>
  <si>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</si>
  <si>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</si>
  <si>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</si>
  <si>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</si>
  <si>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</si>
  <si>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</si>
  <si>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</si>
  <si>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</si>
  <si>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</si>
  <si>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</si>
  <si>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</si>
  <si>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</si>
  <si>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</si>
  <si>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</si>
  <si>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</si>
  <si>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</si>
  <si>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</si>
  <si>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</si>
  <si>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</si>
  <si>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</si>
  <si>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</si>
  <si>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</si>
  <si>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</si>
  <si>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</si>
  <si>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</si>
  <si>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</si>
  <si>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</si>
  <si>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</si>
  <si>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</si>
  <si>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</si>
  <si>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</si>
  <si>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</si>
  <si>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</si>
  <si>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</si>
  <si>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</si>
  <si>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</si>
  <si>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</si>
  <si>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</si>
  <si>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</si>
  <si>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</si>
  <si>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</si>
  <si>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</si>
  <si>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</si>
  <si>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</si>
  <si>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</si>
  <si>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</si>
  <si>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</si>
  <si>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</si>
  <si>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</si>
  <si>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</si>
  <si>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</si>
  <si>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</si>
  <si>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</si>
  <si>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</si>
  <si>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</si>
  <si>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</si>
  <si>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</si>
  <si>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</si>
  <si>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</si>
  <si>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</si>
  <si>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</si>
  <si>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</si>
  <si>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</si>
  <si>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</si>
  <si>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</si>
  <si>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</si>
  <si>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</si>
  <si>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</si>
  <si>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</si>
  <si>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</si>
  <si>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</si>
  <si>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</si>
  <si>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</si>
  <si>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</si>
  <si>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</si>
  <si>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</si>
  <si>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</si>
  <si>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</si>
  <si>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</si>
  <si>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</si>
  <si>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</si>
  <si>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</si>
  <si>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</si>
  <si>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</si>
  <si>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</si>
  <si>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</si>
  <si>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</si>
  <si>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</si>
  <si>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</si>
  <si>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</si>
  <si>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</si>
  <si>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</si>
  <si>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</si>
  <si>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</si>
  <si>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</si>
  <si>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</si>
  <si>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</si>
  <si>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</si>
  <si>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</si>
  <si>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</si>
  <si>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</si>
  <si>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</si>
  <si>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</si>
  <si>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</si>
  <si>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</si>
  <si>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</si>
  <si>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</si>
  <si>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</si>
  <si>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</si>
  <si>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</si>
  <si>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</si>
  <si>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</si>
  <si>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</si>
  <si>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</si>
  <si>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</si>
  <si>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</si>
  <si>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</si>
  <si>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</si>
  <si>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</si>
  <si>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</si>
  <si>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</si>
  <si>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</si>
  <si>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</si>
  <si>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</si>
  <si>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</si>
  <si>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</si>
  <si>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</si>
  <si>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</si>
  <si>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</si>
  <si>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</si>
  <si>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</si>
  <si>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</si>
  <si>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</si>
  <si>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</si>
  <si>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</si>
  <si>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</si>
  <si>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</si>
  <si>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</si>
  <si>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</si>
  <si>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</si>
  <si>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</si>
  <si>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</si>
  <si>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</si>
  <si>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</si>
  <si>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</si>
  <si>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</si>
  <si>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</si>
  <si>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</si>
  <si>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</si>
  <si>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</si>
  <si>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</si>
  <si>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</si>
  <si>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</si>
  <si>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</si>
  <si>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</si>
  <si>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</si>
  <si>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</si>
  <si>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</si>
  <si>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</si>
  <si>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</si>
  <si>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</si>
  <si>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</si>
  <si>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</si>
  <si>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</si>
  <si>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</si>
  <si>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</si>
  <si>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</si>
  <si>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</si>
  <si>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</si>
  <si>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</si>
  <si>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</si>
  <si>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</si>
  <si>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</si>
  <si>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</si>
  <si>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</si>
  <si>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</si>
  <si>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</si>
  <si>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</si>
  <si>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</si>
  <si>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</si>
  <si>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</si>
  <si>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</si>
  <si>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</si>
  <si>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</si>
  <si>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</si>
  <si>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</si>
  <si>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</si>
  <si>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</si>
  <si>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</si>
  <si>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</si>
  <si>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</si>
  <si>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</si>
  <si>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</si>
  <si>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</si>
  <si>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</si>
  <si>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</si>
  <si>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</si>
  <si>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</si>
  <si>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</si>
  <si>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</si>
  <si>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</si>
  <si>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</si>
  <si>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</si>
  <si>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</si>
  <si>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</si>
  <si>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</si>
  <si>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</si>
  <si>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</si>
  <si>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</si>
  <si>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</si>
  <si>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</si>
  <si>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</si>
  <si>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</si>
  <si>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</si>
  <si>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</si>
  <si>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</si>
  <si>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</si>
  <si>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</si>
  <si>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</si>
  <si>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</si>
  <si>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</si>
  <si>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</si>
  <si>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</si>
  <si>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</si>
  <si>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</si>
  <si>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</si>
  <si>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</si>
  <si>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</si>
  <si>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</si>
  <si>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</si>
  <si>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</si>
  <si>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</si>
  <si>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</si>
  <si>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</si>
  <si>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</si>
  <si>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</si>
  <si>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</si>
  <si>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</si>
  <si>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</si>
  <si>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</si>
  <si>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</si>
  <si>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</si>
  <si>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</si>
  <si>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</si>
  <si>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</si>
  <si>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</si>
  <si>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</si>
  <si>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</si>
  <si>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</si>
  <si>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</si>
  <si>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</si>
  <si>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</si>
  <si>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</si>
  <si>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</si>
  <si>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</si>
  <si>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</si>
  <si>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</si>
  <si>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</si>
  <si>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</si>
  <si>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</si>
  <si>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</si>
  <si>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</si>
  <si>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</si>
  <si>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</si>
  <si>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</si>
  <si>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</si>
  <si>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</si>
  <si>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</si>
  <si>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</si>
  <si>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</si>
  <si>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</si>
  <si>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</si>
  <si>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</si>
  <si>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</si>
  <si>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</si>
  <si>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</si>
  <si>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</si>
  <si>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</si>
  <si>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</si>
  <si>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</si>
  <si>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</si>
  <si>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ERICKSON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</si>
  <si>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</si>
  <si>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</si>
  <si>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</si>
  <si>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</si>
  <si>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</si>
  <si>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</si>
  <si>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</si>
  <si>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</si>
  <si>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</si>
  <si>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</si>
  <si>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OZINGA CEMENT, JOPPA POWER PLANT SILOS 5-7 METROPOLIS, IL.</t>
  </si>
  <si>
    <t>--FLY ASH CLASS F--</t>
  </si>
  <si>
    <t>CHARAH SOLUTIONS, INC CAYUGA POWER PLANT UNITS 1 &amp; 2 CAYUGA, IN</t>
  </si>
  <si>
    <t>228101</t>
  </si>
  <si>
    <t>CHARAH SOLUTIONS, INC  DB WILSON STATION UNIT 1 CENTERTOWN, KY</t>
  </si>
  <si>
    <t>218100</t>
  </si>
  <si>
    <t>CHARAH SOLUTIONS, INC  MIAMI FORT STATION, LLC. UNIT 7, NORTH BEND, OH</t>
  </si>
  <si>
    <t>CHARAH SOLUTIONS, INC  MIAMI FORT STATION, LLC. UNIT 8, NORTH BEND, OH</t>
  </si>
  <si>
    <t>CHARAH SOLUTIONS, INC  ZIMMER POWER STATION, MOSCOW, OH</t>
  </si>
  <si>
    <t>DYNEGY, INC  MIAMI FORT STATION, LLC. UNIT 7, NORTH BEND, OH</t>
  </si>
  <si>
    <t>DYNEGY, INC  MIAMI FORT STATION, LLC. UNIT 8, NORTH BEND, OH</t>
  </si>
  <si>
    <t>EM RESOURCES LLC  CUMBERLAND STATION CUMBERLAND CITY TN.</t>
  </si>
  <si>
    <t>208131</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</si>
  <si>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</si>
  <si>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</si>
  <si>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</si>
  <si>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</si>
  <si>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</si>
  <si>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</si>
  <si>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</si>
  <si>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</si>
  <si>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</si>
  <si>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</si>
  <si>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</si>
  <si>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</si>
  <si>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</si>
  <si>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</si>
  <si>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</si>
  <si>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</si>
  <si>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</si>
  <si>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</si>
  <si>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</si>
  <si>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</si>
  <si>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</si>
  <si>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</si>
  <si>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</si>
  <si>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</si>
  <si>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</si>
  <si>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</si>
  <si>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</si>
  <si>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</si>
  <si>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</si>
  <si>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</si>
  <si>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</si>
  <si>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</si>
  <si>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</si>
  <si>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</si>
  <si>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</si>
  <si>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</si>
  <si>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</si>
  <si>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</si>
  <si>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</si>
  <si>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</si>
  <si>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</si>
  <si>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</si>
  <si>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</si>
  <si>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</si>
  <si>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</si>
  <si>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</si>
  <si>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</si>
  <si>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</si>
  <si>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</si>
  <si>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</si>
  <si>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</si>
  <si>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</si>
  <si>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</si>
  <si>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</si>
  <si>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</si>
  <si>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</si>
  <si>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</si>
  <si>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</si>
  <si>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</si>
  <si>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</si>
  <si>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</si>
  <si>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</si>
  <si>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</si>
  <si>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</si>
  <si>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</si>
  <si>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</si>
  <si>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</si>
  <si>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</si>
  <si>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</si>
  <si>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</si>
  <si>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</si>
  <si>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</si>
  <si>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</si>
  <si>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9.5 TO 20.0
</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</si>
  <si>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</si>
  <si>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</si>
  <si>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</si>
  <si>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</si>
  <si>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</si>
  <si>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</si>
  <si>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</si>
  <si>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</si>
  <si>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</si>
  <si>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</si>
  <si>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</si>
  <si>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</si>
  <si>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 xml:space="preserve">2.0 TO 20.0
</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</si>
  <si>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</si>
  <si>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</si>
  <si>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</si>
  <si>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</si>
  <si>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</si>
  <si>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</si>
  <si>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</si>
  <si>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</si>
  <si>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</si>
  <si>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</si>
  <si>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</si>
  <si>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</si>
  <si>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</si>
  <si>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</si>
  <si>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0.25 TO 1.25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</si>
  <si>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</si>
  <si>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</si>
  <si>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</si>
  <si>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</si>
  <si>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</si>
  <si>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</si>
  <si>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</si>
  <si>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</si>
  <si>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</si>
  <si>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</si>
  <si>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</si>
  <si>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</si>
  <si>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</si>
  <si>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</si>
  <si>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</si>
  <si>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</si>
  <si>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</si>
  <si>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</si>
  <si>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</si>
  <si>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</si>
  <si>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</si>
  <si>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 xml:space="preserve">3.0 to 20.0
</t>
  </si>
  <si>
    <t>CHRYSO ENVIROMIX 159 (F)</t>
  </si>
  <si>
    <t xml:space="preserve">12.0 to 20.0
</t>
  </si>
  <si>
    <t>CHRYSO ENVIROMIX 300</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</si>
  <si>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</si>
  <si>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</si>
  <si>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</si>
  <si>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</si>
  <si>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</si>
  <si>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</si>
  <si>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</si>
  <si>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</si>
  <si>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</si>
  <si>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</si>
  <si>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</si>
  <si>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</si>
  <si>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</si>
  <si>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</si>
  <si>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</si>
  <si>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</si>
  <si>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</si>
  <si>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</si>
  <si>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</si>
  <si>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</si>
  <si>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</si>
  <si>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</si>
  <si>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</si>
  <si>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</si>
  <si>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1.0 to 4.0</t>
  </si>
  <si>
    <t>CHRYSO FLUID PREMIA 198 (F)</t>
  </si>
  <si>
    <t>4.0 to 20.0</t>
  </si>
  <si>
    <t>CHRYSO OPTMA 249 (A)</t>
  </si>
  <si>
    <t>2.0 TO 4.0</t>
  </si>
  <si>
    <t>CHRYSO TURBOCAST 650A</t>
  </si>
  <si>
    <t>078615</t>
  </si>
  <si>
    <t xml:space="preserve">8.0 TO 54.0
</t>
  </si>
  <si>
    <t>CHRYSO TURBOCAST NCT</t>
  </si>
  <si>
    <t>158672</t>
  </si>
  <si>
    <t xml:space="preserve">8.0 TO 90.0
</t>
  </si>
  <si>
    <t>CLARENA MC2000 (A)</t>
  </si>
  <si>
    <t>178633</t>
  </si>
  <si>
    <t>CLARENA MC2000 (F)</t>
  </si>
  <si>
    <t>178617</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</si>
  <si>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</si>
  <si>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</si>
  <si>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</si>
  <si>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</si>
  <si>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</si>
  <si>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</si>
  <si>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</si>
  <si>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</si>
  <si>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</si>
  <si>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</si>
  <si>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</si>
  <si>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</si>
  <si>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</si>
  <si>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</si>
  <si>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</si>
  <si>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</si>
  <si>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</si>
  <si>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</si>
  <si>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</si>
  <si>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</si>
  <si>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</si>
  <si>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</si>
  <si>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</si>
  <si>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</si>
  <si>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</si>
  <si>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</si>
  <si>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</si>
  <si>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</si>
  <si>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</si>
  <si>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</si>
  <si>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</si>
  <si>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</si>
  <si>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</si>
  <si>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</si>
  <si>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</si>
  <si>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</si>
  <si>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</si>
  <si>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</si>
  <si>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</si>
  <si>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</si>
  <si>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DARNSET 130 ( C)</t>
  </si>
  <si>
    <t xml:space="preserve">9.0 TO 54.0
</t>
  </si>
  <si>
    <t>DELAY SET, STANDARD &amp; MINI</t>
  </si>
  <si>
    <t>1.0 TO 1.7 (POWDER)</t>
  </si>
  <si>
    <t>DYNAMON SX 37</t>
  </si>
  <si>
    <t>9581</t>
  </si>
  <si>
    <t>MAPEI CORPORATION</t>
  </si>
  <si>
    <t xml:space="preserve">2.0 TO 11.0
</t>
  </si>
  <si>
    <t>DYNAMON SX</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</si>
  <si>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</si>
  <si>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</si>
  <si>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</si>
  <si>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</si>
  <si>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</si>
  <si>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</si>
  <si>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</si>
  <si>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</si>
  <si>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</si>
  <si>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</si>
  <si>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</si>
  <si>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</si>
  <si>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</si>
  <si>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</si>
  <si>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</si>
  <si>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</si>
  <si>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</si>
  <si>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</si>
  <si>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</si>
  <si>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</si>
  <si>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</si>
  <si>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</si>
  <si>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</si>
  <si>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</si>
  <si>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</si>
  <si>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</si>
  <si>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</si>
  <si>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</si>
  <si>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</si>
  <si>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</si>
  <si>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</si>
  <si>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</si>
  <si>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</si>
  <si>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</si>
  <si>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</si>
  <si>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</si>
  <si>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</si>
  <si>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</si>
  <si>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</si>
  <si>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</si>
  <si>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</si>
  <si>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</si>
  <si>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</si>
  <si>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</si>
  <si>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</si>
  <si>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</si>
  <si>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</si>
  <si>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</si>
  <si>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</si>
  <si>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</si>
  <si>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</si>
  <si>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</si>
  <si>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</si>
  <si>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</si>
  <si>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</si>
  <si>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</si>
  <si>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</si>
  <si>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</si>
  <si>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</si>
  <si>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</si>
  <si>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</si>
  <si>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</si>
  <si>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</si>
  <si>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</si>
  <si>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</si>
  <si>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</si>
  <si>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</si>
  <si>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</si>
  <si>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</si>
  <si>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</si>
  <si>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</si>
  <si>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</si>
  <si>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</si>
  <si>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</si>
  <si>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</si>
  <si>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</si>
  <si>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</si>
  <si>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</si>
  <si>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</si>
  <si>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</si>
  <si>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</si>
  <si>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</si>
  <si>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</si>
  <si>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</si>
  <si>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</si>
  <si>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</si>
  <si>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</si>
  <si>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</si>
  <si>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</si>
  <si>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</si>
  <si>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</si>
  <si>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</si>
  <si>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</si>
  <si>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</si>
  <si>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</si>
  <si>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</si>
  <si>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</si>
  <si>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</si>
  <si>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</si>
  <si>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</si>
  <si>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</si>
  <si>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</si>
  <si>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</si>
  <si>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</si>
  <si>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</si>
  <si>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</si>
  <si>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</si>
  <si>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</si>
  <si>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</si>
  <si>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</si>
  <si>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</si>
  <si>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</si>
  <si>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</si>
  <si>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</si>
  <si>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</si>
  <si>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</si>
  <si>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</si>
  <si>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</si>
  <si>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</si>
  <si>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</si>
  <si>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</si>
  <si>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</si>
  <si>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</si>
  <si>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</si>
  <si>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</si>
  <si>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</si>
  <si>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</si>
  <si>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</si>
  <si>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</si>
  <si>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</si>
  <si>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</si>
  <si>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</si>
  <si>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</si>
  <si>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</si>
  <si>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</si>
  <si>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</si>
  <si>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</si>
  <si>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</si>
  <si>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</si>
  <si>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</si>
  <si>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</si>
  <si>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</si>
  <si>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</si>
  <si>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</si>
  <si>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</si>
  <si>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</si>
  <si>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</si>
  <si>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</si>
  <si>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</si>
  <si>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</si>
  <si>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</si>
  <si>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</si>
  <si>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</si>
  <si>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</si>
  <si>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</si>
  <si>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</si>
  <si>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</si>
  <si>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</si>
  <si>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</si>
  <si>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</si>
  <si>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</si>
  <si>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</si>
  <si>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</si>
  <si>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</si>
  <si>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</si>
  <si>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</si>
  <si>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</si>
  <si>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</si>
  <si>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</si>
  <si>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</si>
  <si>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</si>
  <si>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</si>
  <si>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</si>
  <si>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</si>
  <si>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</si>
  <si>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</si>
  <si>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</si>
  <si>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</si>
  <si>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</si>
  <si>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</si>
  <si>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</si>
  <si>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</si>
  <si>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</si>
  <si>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</si>
  <si>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</si>
  <si>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</si>
  <si>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</si>
  <si>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</si>
  <si>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</si>
  <si>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</si>
  <si>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</si>
  <si>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</si>
  <si>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</si>
  <si>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</si>
  <si>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</si>
  <si>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</si>
  <si>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</si>
  <si>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</si>
  <si>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</si>
  <si>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</si>
  <si>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</si>
  <si>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</si>
  <si>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</si>
  <si>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</si>
  <si>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</si>
  <si>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</si>
  <si>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</si>
  <si>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</si>
  <si>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</si>
  <si>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</si>
  <si>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</si>
  <si>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</si>
  <si>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</si>
  <si>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</si>
  <si>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</si>
  <si>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</si>
  <si>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</si>
  <si>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</si>
  <si>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</si>
  <si>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</si>
  <si>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</si>
  <si>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</si>
  <si>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</si>
  <si>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</si>
  <si>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</si>
  <si>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</si>
  <si>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</si>
  <si>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</si>
  <si>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</si>
  <si>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</si>
  <si>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0.19 TO 0.69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</si>
  <si>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</si>
  <si>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</si>
  <si>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</si>
  <si>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</si>
  <si>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</si>
  <si>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</si>
  <si>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</si>
  <si>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</si>
  <si>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</si>
  <si>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</si>
  <si>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</si>
  <si>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</si>
  <si>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</si>
  <si>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</si>
  <si>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</si>
  <si>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</si>
  <si>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</si>
  <si>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</si>
  <si>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</si>
  <si>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</si>
  <si>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</si>
  <si>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</si>
  <si>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</si>
  <si>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</si>
  <si>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</si>
  <si>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</si>
  <si>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</si>
  <si>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</si>
  <si>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</si>
  <si>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</si>
  <si>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</si>
  <si>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</si>
  <si>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</si>
  <si>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</si>
  <si>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</si>
  <si>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</si>
  <si>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</si>
  <si>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</si>
  <si>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</si>
  <si>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</si>
  <si>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</si>
  <si>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</si>
  <si>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</si>
  <si>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</si>
  <si>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</si>
  <si>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</si>
  <si>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</si>
  <si>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</si>
  <si>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</si>
  <si>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</si>
  <si>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</si>
  <si>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</si>
  <si>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</si>
  <si>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</si>
  <si>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</si>
  <si>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</si>
  <si>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</si>
  <si>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</si>
  <si>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</si>
  <si>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</si>
  <si>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</si>
  <si>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</si>
  <si>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</si>
  <si>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</si>
  <si>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</si>
  <si>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</si>
  <si>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</si>
  <si>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</si>
  <si>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</si>
  <si>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</si>
  <si>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</si>
  <si>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</si>
  <si>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</si>
  <si>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</si>
  <si>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</si>
  <si>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</si>
  <si>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</si>
  <si>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</si>
  <si>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</si>
  <si>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</si>
  <si>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</si>
  <si>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</si>
  <si>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</si>
  <si>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</si>
  <si>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</si>
  <si>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</si>
  <si>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</si>
  <si>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</si>
  <si>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</si>
  <si>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</si>
  <si>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</si>
  <si>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</si>
  <si>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</si>
  <si>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</si>
  <si>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</si>
  <si>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</si>
  <si>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</si>
  <si>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</si>
  <si>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</si>
  <si>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</si>
  <si>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</si>
  <si>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</si>
  <si>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</si>
  <si>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</si>
  <si>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</si>
  <si>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</si>
  <si>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</si>
  <si>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</si>
  <si>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</si>
  <si>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</si>
  <si>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</si>
  <si>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</si>
  <si>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</si>
  <si>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</si>
  <si>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</si>
  <si>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</si>
  <si>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</si>
  <si>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</si>
  <si>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</si>
  <si>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</si>
  <si>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</si>
  <si>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400NC</t>
  </si>
  <si>
    <t>POLYCHEM PAVER PLUS</t>
  </si>
  <si>
    <t>POLYCHEM R</t>
  </si>
  <si>
    <t>POLYCHEM SA</t>
  </si>
  <si>
    <t>0.2 To 2.0</t>
  </si>
  <si>
    <t>POLYCHEM SA-50</t>
  </si>
  <si>
    <t>POLYCHEM SPC</t>
  </si>
  <si>
    <t xml:space="preserve">6.0 TO 20.0
</t>
  </si>
  <si>
    <t>POLYCHEM SUPER SET PLUS</t>
  </si>
  <si>
    <t>8.0 TO 32.0</t>
  </si>
  <si>
    <t>PROLONG L</t>
  </si>
  <si>
    <t>138653</t>
  </si>
  <si>
    <t xml:space="preserve">PREMIERE CONCRETE ADMIXTURES LLC     
</t>
  </si>
  <si>
    <t xml:space="preserve">2.0 T0 4.0
</t>
  </si>
  <si>
    <t>RAE-260</t>
  </si>
  <si>
    <t>168611</t>
  </si>
  <si>
    <t>0.5 TO 2.0</t>
  </si>
  <si>
    <t>RB-1200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</si>
  <si>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</si>
  <si>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</si>
  <si>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</si>
  <si>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</si>
  <si>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</si>
  <si>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</si>
  <si>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</si>
  <si>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</si>
  <si>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</si>
  <si>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</si>
  <si>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</si>
  <si>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</si>
  <si>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</si>
  <si>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</si>
  <si>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</si>
  <si>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</si>
  <si>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</si>
  <si>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</si>
  <si>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</si>
  <si>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</si>
  <si>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</si>
  <si>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</si>
  <si>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</si>
  <si>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</si>
  <si>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</si>
  <si>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</si>
  <si>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</si>
  <si>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</si>
  <si>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</si>
  <si>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</si>
  <si>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</si>
  <si>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</si>
  <si>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</si>
  <si>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</si>
  <si>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</si>
  <si>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</si>
  <si>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</si>
  <si>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SIKA VISCOCRETE-4100</t>
  </si>
  <si>
    <t>068221</t>
  </si>
  <si>
    <t>SIKA VISCOCRETE-6100</t>
  </si>
  <si>
    <t>048221</t>
  </si>
  <si>
    <t>SIKA VISCOFLOW-2020</t>
  </si>
  <si>
    <t>9514</t>
  </si>
  <si>
    <t>SIKA-CNI</t>
  </si>
  <si>
    <t>178655</t>
  </si>
  <si>
    <t>10.0 TO 120.0</t>
  </si>
  <si>
    <t>SIKAMENT AFM (A)</t>
  </si>
  <si>
    <t>178612</t>
  </si>
  <si>
    <t>SIKAMENT AFM (F)</t>
  </si>
  <si>
    <t>SIKAMENT SPMN</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</si>
  <si>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</si>
  <si>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</si>
  <si>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</si>
  <si>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</si>
  <si>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</si>
  <si>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</si>
  <si>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</si>
  <si>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</si>
  <si>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</si>
  <si>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</si>
  <si>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</si>
  <si>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</si>
  <si>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</si>
  <si>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</si>
  <si>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</si>
  <si>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</si>
  <si>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</si>
  <si>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</si>
  <si>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SIKASET NC</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</si>
  <si>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</si>
  <si>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</si>
  <si>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</si>
  <si>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</si>
  <si>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</si>
  <si>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</si>
  <si>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</si>
  <si>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</si>
  <si>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</si>
  <si>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</si>
  <si>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</si>
  <si>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</si>
  <si>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</si>
  <si>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</si>
  <si>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</si>
  <si>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</si>
  <si>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</si>
  <si>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</si>
  <si>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</si>
  <si>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</si>
  <si>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</si>
  <si>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</si>
  <si>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</si>
  <si>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</si>
  <si>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</si>
  <si>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</si>
  <si>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</si>
  <si>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</si>
  <si>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</si>
  <si>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</si>
  <si>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</si>
  <si>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</si>
  <si>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</si>
  <si>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</si>
  <si>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</si>
  <si>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</si>
  <si>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</si>
  <si>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</si>
  <si>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</si>
  <si>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</si>
  <si>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</si>
  <si>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</si>
  <si>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</si>
  <si>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</si>
  <si>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</si>
  <si>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</si>
  <si>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</si>
  <si>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</si>
  <si>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</si>
  <si>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</si>
  <si>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</si>
  <si>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</si>
  <si>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</si>
  <si>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</si>
  <si>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</si>
  <si>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</si>
  <si>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</si>
  <si>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</si>
  <si>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</si>
  <si>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</si>
  <si>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</si>
  <si>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</si>
  <si>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</si>
  <si>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</si>
  <si>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</si>
  <si>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</si>
  <si>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</si>
  <si>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</si>
  <si>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</si>
  <si>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</si>
  <si>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</si>
  <si>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</si>
  <si>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</si>
  <si>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</si>
  <si>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</si>
  <si>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</si>
  <si>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</si>
  <si>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</si>
  <si>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</si>
  <si>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</si>
  <si>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</si>
  <si>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</si>
  <si>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</si>
  <si>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</si>
  <si>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</si>
  <si>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</si>
  <si>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</si>
  <si>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</si>
  <si>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</si>
  <si>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</si>
  <si>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</si>
  <si>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</si>
  <si>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</si>
  <si>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</si>
  <si>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</si>
  <si>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</si>
  <si>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</si>
  <si>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</si>
  <si>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</si>
  <si>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</si>
  <si>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</si>
  <si>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</si>
  <si>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</si>
  <si>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</si>
  <si>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</si>
  <si>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</si>
  <si>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</si>
  <si>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</si>
  <si>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</si>
  <si>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</si>
  <si>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</si>
  <si>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</si>
  <si>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</si>
  <si>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</si>
  <si>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</si>
  <si>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</si>
  <si>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</si>
  <si>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</si>
  <si>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</si>
  <si>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</si>
  <si>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</si>
  <si>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</si>
  <si>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</si>
  <si>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</si>
  <si>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</si>
  <si>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CHRYSO ENVIROMIX 350</t>
  </si>
  <si>
    <t>CMDS</t>
  </si>
  <si>
    <t>OZINGA CEMENT  BELLE RIVER POWER PLANT EAST CHINA, MI</t>
  </si>
  <si>
    <t>238101</t>
  </si>
  <si>
    <t>TYPE b</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</si>
  <si>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</si>
  <si>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</si>
  <si>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</si>
  <si>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</si>
  <si>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</si>
  <si>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</si>
  <si>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</si>
  <si>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</si>
  <si>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</si>
  <si>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</si>
  <si>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</si>
  <si>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</si>
  <si>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</si>
  <si>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</si>
  <si>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</si>
  <si>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</si>
  <si>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</si>
  <si>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v13.09.06.23</t>
  </si>
  <si>
    <t>---Flowable Fill Admixtures---</t>
  </si>
  <si>
    <t>EZ FILL</t>
  </si>
  <si>
    <t>FLOW FILL</t>
  </si>
  <si>
    <t>RHEOFILL</t>
  </si>
  <si>
    <t>MASTER CELL 25</t>
  </si>
  <si>
    <t>FLOW AIR</t>
  </si>
  <si>
    <t>RUSS-FLO</t>
  </si>
  <si>
    <t>XXXXXX</t>
  </si>
  <si>
    <t>RUSSTECH ADMIXTURES</t>
  </si>
  <si>
    <t>8272</t>
  </si>
  <si>
    <t>8596</t>
  </si>
  <si>
    <t>MASTER BUILDERS SOLUTIONS LLC</t>
  </si>
  <si>
    <t>v13a.09.08.23</t>
  </si>
  <si>
    <t>DARAFILL DRY</t>
  </si>
  <si>
    <t>GCP APPLIED TECHNOLOGIES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</si>
</sst>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49" x14ac:knownFonts="1">
    <font>
      <sz val="10"/>
      <name val="Arial"/>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s>
  <fills count="17">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s>
  <borders count="95">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s>
  <cellStyleXfs count="8">
    <xf numFmtId="0" fontId="0" fillId="0" borderId="0"/>
    <xf numFmtId="43" fontId="12" fillId="0" borderId="0" applyFont="0" applyFill="0" applyBorder="0" applyAlignment="0" applyProtection="0"/>
    <xf numFmtId="0" fontId="13" fillId="0" borderId="0"/>
    <xf numFmtId="0" fontId="13" fillId="0" borderId="0"/>
    <xf numFmtId="0" fontId="29" fillId="0" borderId="0"/>
    <xf numFmtId="0" fontId="1" fillId="0" borderId="0"/>
    <xf numFmtId="43" fontId="1" fillId="0" borderId="0" applyFont="0" applyFill="0" applyBorder="0" applyAlignment="0" applyProtection="0"/>
    <xf numFmtId="9" fontId="48" fillId="0" borderId="0" applyFont="0" applyFill="0" applyBorder="0" applyAlignment="0" applyProtection="0"/>
  </cellStyleXfs>
  <cellXfs count="828">
    <xf numFmtId="0" fontId="0" fillId="0" borderId="0" xfId="0"/>
    <xf numFmtId="0" fontId="0" fillId="0" borderId="0" xfId="0" applyAlignment="1">
      <alignment horizontal="center"/>
    </xf>
    <xf numFmtId="0" fontId="2" fillId="0" borderId="0" xfId="0" applyFont="1"/>
    <xf numFmtId="0" fontId="0" fillId="0" borderId="1" xfId="0" applyBorder="1"/>
    <xf numFmtId="0" fontId="3" fillId="0" borderId="0" xfId="0" applyFont="1"/>
    <xf numFmtId="0" fontId="1" fillId="0" borderId="0" xfId="0" applyFont="1"/>
    <xf numFmtId="167" fontId="0" fillId="0" borderId="0" xfId="0" applyNumberFormat="1"/>
    <xf numFmtId="0" fontId="4" fillId="0" borderId="0" xfId="0" applyFont="1"/>
    <xf numFmtId="0" fontId="0" fillId="0" borderId="6" xfId="0" applyBorder="1"/>
    <xf numFmtId="0" fontId="0" fillId="0" borderId="7" xfId="0" applyBorder="1"/>
    <xf numFmtId="0" fontId="5"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2"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19" fillId="0" borderId="13" xfId="2" applyFont="1" applyBorder="1" applyAlignment="1" applyProtection="1">
      <alignment horizontal="center" vertical="center" wrapText="1" shrinkToFit="1"/>
      <protection hidden="1"/>
    </xf>
    <xf numFmtId="169" fontId="19" fillId="3" borderId="13" xfId="3" applyNumberFormat="1" applyFont="1" applyFill="1" applyBorder="1" applyAlignment="1" applyProtection="1">
      <alignment horizontal="center" wrapText="1" shrinkToFit="1"/>
      <protection hidden="1"/>
    </xf>
    <xf numFmtId="0" fontId="19" fillId="0" borderId="13" xfId="2" applyFont="1" applyBorder="1" applyAlignment="1" applyProtection="1">
      <alignment horizontal="center" wrapText="1" shrinkToFit="1"/>
      <protection hidden="1"/>
    </xf>
    <xf numFmtId="170" fontId="19" fillId="3" borderId="13" xfId="1" applyNumberFormat="1" applyFont="1" applyFill="1" applyBorder="1" applyAlignment="1" applyProtection="1">
      <alignment horizontal="center" wrapText="1" shrinkToFit="1"/>
      <protection hidden="1"/>
    </xf>
    <xf numFmtId="0" fontId="1"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7" fillId="0" borderId="13" xfId="0" applyFont="1" applyBorder="1" applyAlignment="1" applyProtection="1">
      <alignment horizontal="center" wrapText="1" shrinkToFit="1"/>
      <protection hidden="1"/>
    </xf>
    <xf numFmtId="49" fontId="1" fillId="0" borderId="14" xfId="0" applyNumberFormat="1" applyFont="1" applyBorder="1" applyAlignment="1">
      <alignment horizontal="center"/>
    </xf>
    <xf numFmtId="0" fontId="0" fillId="0" borderId="0" xfId="0" applyAlignment="1" applyProtection="1">
      <alignment wrapText="1" shrinkToFit="1"/>
      <protection locked="0"/>
    </xf>
    <xf numFmtId="0" fontId="16" fillId="0" borderId="0" xfId="0" applyFont="1"/>
    <xf numFmtId="0" fontId="16" fillId="0" borderId="13" xfId="0" applyFont="1" applyBorder="1" applyAlignment="1" applyProtection="1">
      <alignment horizontal="center" wrapText="1" shrinkToFit="1"/>
      <protection hidden="1"/>
    </xf>
    <xf numFmtId="0" fontId="16" fillId="0" borderId="14" xfId="0" applyFont="1" applyBorder="1" applyAlignment="1">
      <alignment horizontal="center"/>
    </xf>
    <xf numFmtId="49" fontId="16" fillId="0" borderId="14" xfId="0" applyNumberFormat="1" applyFont="1" applyBorder="1" applyAlignment="1">
      <alignment horizontal="center"/>
    </xf>
    <xf numFmtId="170" fontId="20" fillId="3" borderId="13" xfId="1" applyNumberFormat="1" applyFont="1" applyFill="1" applyBorder="1" applyAlignment="1" applyProtection="1">
      <alignment horizontal="center" wrapText="1" shrinkToFit="1"/>
      <protection hidden="1"/>
    </xf>
    <xf numFmtId="0" fontId="1" fillId="0" borderId="0" xfId="0" applyFont="1" applyAlignment="1" applyProtection="1">
      <alignment horizontal="right"/>
      <protection locked="0"/>
    </xf>
    <xf numFmtId="0" fontId="1" fillId="0" borderId="0" xfId="0" applyFont="1" applyAlignment="1">
      <alignment horizontal="right"/>
    </xf>
    <xf numFmtId="0" fontId="0" fillId="0" borderId="0" xfId="0" applyAlignment="1">
      <alignment horizontal="left" vertical="center"/>
    </xf>
    <xf numFmtId="49" fontId="1" fillId="0" borderId="0" xfId="0" applyNumberFormat="1" applyFont="1" applyAlignment="1">
      <alignment horizontal="center" vertical="center"/>
    </xf>
    <xf numFmtId="49" fontId="21" fillId="0" borderId="0" xfId="0" applyNumberFormat="1" applyFont="1" applyAlignment="1">
      <alignment horizontal="left" vertical="center"/>
    </xf>
    <xf numFmtId="49" fontId="0" fillId="0" borderId="0" xfId="0" applyNumberFormat="1" applyAlignment="1">
      <alignment horizontal="center" vertical="center"/>
    </xf>
    <xf numFmtId="49" fontId="21" fillId="0" borderId="0" xfId="0" applyNumberFormat="1" applyFont="1" applyAlignment="1">
      <alignment horizontal="left" vertical="center" wrapText="1"/>
    </xf>
    <xf numFmtId="49" fontId="0" fillId="0" borderId="0" xfId="0" applyNumberFormat="1" applyAlignment="1">
      <alignment horizontal="center" vertical="top"/>
    </xf>
    <xf numFmtId="49" fontId="17" fillId="0" borderId="0" xfId="0" applyNumberFormat="1" applyFont="1" applyAlignment="1">
      <alignment horizontal="left" vertical="top"/>
    </xf>
    <xf numFmtId="49" fontId="1" fillId="0" borderId="0" xfId="0" applyNumberFormat="1" applyFont="1" applyAlignment="1">
      <alignment horizontal="center" vertical="top"/>
    </xf>
    <xf numFmtId="0" fontId="0" fillId="0" borderId="0" xfId="0" applyAlignment="1">
      <alignment horizontal="left" vertical="top"/>
    </xf>
    <xf numFmtId="1" fontId="2" fillId="0" borderId="0" xfId="0" applyNumberFormat="1" applyFont="1" applyAlignment="1">
      <alignment horizontal="center"/>
    </xf>
    <xf numFmtId="0" fontId="16" fillId="0" borderId="9" xfId="0" applyFont="1" applyBorder="1" applyAlignment="1">
      <alignment horizontal="center"/>
    </xf>
    <xf numFmtId="49" fontId="22" fillId="0" borderId="0" xfId="0" applyNumberFormat="1" applyFont="1" applyAlignment="1">
      <alignment horizontal="left" vertical="top"/>
    </xf>
    <xf numFmtId="49" fontId="22" fillId="0" borderId="0" xfId="0" applyNumberFormat="1" applyFont="1" applyAlignment="1">
      <alignment horizontal="left" vertical="top" shrinkToFit="1"/>
    </xf>
    <xf numFmtId="49" fontId="18" fillId="0" borderId="0" xfId="0" applyNumberFormat="1" applyFont="1" applyAlignment="1">
      <alignment vertical="top" wrapText="1"/>
    </xf>
    <xf numFmtId="49" fontId="18" fillId="0" borderId="0" xfId="0" applyNumberFormat="1" applyFont="1" applyAlignment="1">
      <alignment horizontal="left" vertical="top" wrapText="1"/>
    </xf>
    <xf numFmtId="49" fontId="18" fillId="0" borderId="0" xfId="0" applyNumberFormat="1" applyFont="1" applyAlignment="1">
      <alignment horizontal="center" vertical="top"/>
    </xf>
    <xf numFmtId="49" fontId="18" fillId="0" borderId="0" xfId="0" applyNumberFormat="1" applyFont="1" applyAlignment="1">
      <alignment horizontal="left" vertical="top"/>
    </xf>
    <xf numFmtId="49" fontId="0" fillId="0" borderId="0" xfId="0" applyNumberFormat="1" applyAlignment="1">
      <alignment horizontal="left" vertical="top"/>
    </xf>
    <xf numFmtId="49" fontId="18" fillId="0" borderId="0" xfId="0" applyNumberFormat="1" applyFont="1" applyAlignment="1">
      <alignment vertical="top"/>
    </xf>
    <xf numFmtId="49" fontId="22" fillId="0" borderId="0" xfId="0" applyNumberFormat="1" applyFont="1" applyAlignment="1">
      <alignment vertical="top"/>
    </xf>
    <xf numFmtId="49" fontId="18" fillId="0" borderId="0" xfId="0" applyNumberFormat="1" applyFont="1" applyAlignment="1">
      <alignment horizontal="left" vertical="top" wrapText="1" shrinkToFit="1"/>
    </xf>
    <xf numFmtId="49" fontId="22" fillId="0" borderId="0" xfId="0" applyNumberFormat="1" applyFont="1" applyAlignment="1">
      <alignment horizontal="left" vertical="top" wrapText="1"/>
    </xf>
    <xf numFmtId="49" fontId="22" fillId="0" borderId="0" xfId="0" applyNumberFormat="1" applyFont="1" applyAlignment="1">
      <alignment horizontal="left" vertical="top" wrapText="1" shrinkToFit="1"/>
    </xf>
    <xf numFmtId="49" fontId="22" fillId="0" borderId="0" xfId="0" applyNumberFormat="1" applyFont="1" applyAlignment="1">
      <alignment horizontal="left" vertical="center"/>
    </xf>
    <xf numFmtId="0" fontId="16"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6" fillId="0" borderId="0" xfId="0" applyFont="1" applyAlignment="1">
      <alignment vertical="center"/>
    </xf>
    <xf numFmtId="165" fontId="0" fillId="5" borderId="9" xfId="0" applyNumberFormat="1" applyFill="1" applyBorder="1" applyAlignment="1">
      <alignment horizontal="center" vertical="center"/>
    </xf>
    <xf numFmtId="0" fontId="25" fillId="0" borderId="0" xfId="0" applyFont="1" applyAlignment="1">
      <alignment horizontal="right"/>
    </xf>
    <xf numFmtId="2" fontId="3" fillId="5" borderId="0" xfId="0" applyNumberFormat="1" applyFont="1" applyFill="1" applyAlignment="1">
      <alignment horizontal="center" vertical="center"/>
    </xf>
    <xf numFmtId="0" fontId="3" fillId="0" borderId="0" xfId="0" applyFont="1" applyAlignment="1">
      <alignment horizontal="center" wrapText="1"/>
    </xf>
    <xf numFmtId="0" fontId="25" fillId="3" borderId="73" xfId="0" applyFont="1" applyFill="1" applyBorder="1" applyAlignment="1">
      <alignment horizontal="center" vertical="center"/>
    </xf>
    <xf numFmtId="0" fontId="25" fillId="3" borderId="25" xfId="0" applyFont="1" applyFill="1" applyBorder="1" applyAlignment="1">
      <alignment horizontal="center" vertical="center"/>
    </xf>
    <xf numFmtId="0" fontId="3" fillId="3" borderId="10" xfId="0" applyFont="1" applyFill="1" applyBorder="1" applyAlignment="1">
      <alignment horizontal="center"/>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3" fillId="3" borderId="24" xfId="0" applyFont="1" applyFill="1" applyBorder="1" applyAlignment="1">
      <alignment horizontal="center"/>
    </xf>
    <xf numFmtId="0" fontId="26" fillId="3" borderId="10" xfId="0" applyFont="1" applyFill="1" applyBorder="1" applyAlignment="1">
      <alignment horizontal="center"/>
    </xf>
    <xf numFmtId="0" fontId="25" fillId="3" borderId="6" xfId="0" applyFont="1" applyFill="1" applyBorder="1" applyAlignment="1">
      <alignment horizontal="center" vertical="center"/>
    </xf>
    <xf numFmtId="165" fontId="1" fillId="5" borderId="0" xfId="0" applyNumberFormat="1" applyFont="1" applyFill="1" applyAlignment="1">
      <alignment horizontal="center" vertical="center"/>
    </xf>
    <xf numFmtId="0" fontId="25"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6" fillId="5" borderId="0" xfId="0" applyNumberFormat="1" applyFont="1" applyFill="1" applyAlignment="1">
      <alignment horizontal="center"/>
    </xf>
    <xf numFmtId="0" fontId="25" fillId="0" borderId="3" xfId="0" applyFont="1" applyBorder="1"/>
    <xf numFmtId="0" fontId="25" fillId="0" borderId="4" xfId="0" applyFont="1" applyBorder="1" applyAlignment="1">
      <alignment horizontal="right"/>
    </xf>
    <xf numFmtId="1" fontId="26" fillId="5" borderId="4" xfId="0" applyNumberFormat="1" applyFont="1" applyFill="1" applyBorder="1" applyAlignment="1">
      <alignment horizontal="center"/>
    </xf>
    <xf numFmtId="0" fontId="25" fillId="0" borderId="4" xfId="0" applyFont="1" applyBorder="1"/>
    <xf numFmtId="0" fontId="25" fillId="0" borderId="6" xfId="0" applyFont="1" applyBorder="1"/>
    <xf numFmtId="0" fontId="25" fillId="0" borderId="11" xfId="0" applyFont="1" applyBorder="1"/>
    <xf numFmtId="0" fontId="28" fillId="0" borderId="3" xfId="0" applyFont="1" applyBorder="1" applyAlignment="1">
      <alignment horizontal="right" vertical="center"/>
    </xf>
    <xf numFmtId="0" fontId="3" fillId="3" borderId="80" xfId="0" applyFont="1" applyFill="1" applyBorder="1" applyAlignment="1">
      <alignment horizontal="center"/>
    </xf>
    <xf numFmtId="0" fontId="3"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5" fillId="0" borderId="10" xfId="0" applyFont="1" applyBorder="1"/>
    <xf numFmtId="0" fontId="25" fillId="0" borderId="11" xfId="0" applyFont="1" applyBorder="1" applyAlignment="1">
      <alignment horizontal="right"/>
    </xf>
    <xf numFmtId="1" fontId="26" fillId="0" borderId="11" xfId="0" applyNumberFormat="1" applyFont="1" applyBorder="1" applyAlignment="1">
      <alignment horizontal="center"/>
    </xf>
    <xf numFmtId="0" fontId="29" fillId="0" borderId="0" xfId="4" applyAlignment="1">
      <alignment horizontal="left" vertical="top"/>
    </xf>
    <xf numFmtId="0" fontId="0" fillId="0" borderId="0" xfId="0" applyAlignment="1" applyProtection="1">
      <alignment horizontal="left"/>
      <protection locked="0"/>
    </xf>
    <xf numFmtId="0" fontId="31" fillId="0" borderId="0" xfId="0" applyFont="1"/>
    <xf numFmtId="171" fontId="22" fillId="0" borderId="0" xfId="0" applyNumberFormat="1" applyFont="1" applyAlignment="1">
      <alignment horizontal="left" vertical="top"/>
    </xf>
    <xf numFmtId="49" fontId="32" fillId="0" borderId="0" xfId="0" applyNumberFormat="1" applyFont="1" applyAlignment="1">
      <alignment horizontal="left" vertical="top"/>
    </xf>
    <xf numFmtId="0" fontId="30" fillId="0" borderId="0" xfId="0" applyFont="1" applyAlignment="1">
      <alignment vertical="center"/>
    </xf>
    <xf numFmtId="0" fontId="33" fillId="0" borderId="0" xfId="0" applyFont="1" applyAlignment="1">
      <alignment vertical="center"/>
    </xf>
    <xf numFmtId="0" fontId="21" fillId="0" borderId="0" xfId="0" applyFont="1" applyAlignment="1">
      <alignment vertical="center"/>
    </xf>
    <xf numFmtId="0" fontId="30" fillId="0" borderId="0" xfId="0" applyFont="1" applyAlignment="1">
      <alignment horizontal="left" vertical="center" indent="8"/>
    </xf>
    <xf numFmtId="49" fontId="35" fillId="0" borderId="0" xfId="0" applyNumberFormat="1" applyFont="1" applyAlignment="1">
      <alignment horizontal="left" vertical="top"/>
    </xf>
    <xf numFmtId="49" fontId="36" fillId="0" borderId="0" xfId="0" applyNumberFormat="1" applyFont="1" applyAlignment="1">
      <alignment horizontal="left" vertical="center" wrapText="1"/>
    </xf>
    <xf numFmtId="0" fontId="0" fillId="7" borderId="0" xfId="0" applyFill="1"/>
    <xf numFmtId="0" fontId="16" fillId="7" borderId="0" xfId="0" applyFont="1" applyFill="1"/>
    <xf numFmtId="0" fontId="16" fillId="0" borderId="86" xfId="0" applyFont="1" applyBorder="1"/>
    <xf numFmtId="0" fontId="7"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19" fillId="3" borderId="1" xfId="1" applyNumberFormat="1" applyFont="1" applyFill="1" applyBorder="1" applyAlignment="1" applyProtection="1">
      <alignment horizontal="center" wrapText="1" shrinkToFit="1"/>
      <protection hidden="1"/>
    </xf>
    <xf numFmtId="2" fontId="1" fillId="0" borderId="14" xfId="0" applyNumberFormat="1" applyFont="1" applyBorder="1" applyAlignment="1">
      <alignment horizontal="center"/>
    </xf>
    <xf numFmtId="0" fontId="1" fillId="0" borderId="14" xfId="0" applyFont="1" applyBorder="1" applyAlignment="1">
      <alignment horizontal="center"/>
    </xf>
    <xf numFmtId="2" fontId="16" fillId="0" borderId="14" xfId="0" applyNumberFormat="1" applyFont="1" applyBorder="1" applyAlignment="1">
      <alignment horizontal="center"/>
    </xf>
    <xf numFmtId="171" fontId="0" fillId="0" borderId="14" xfId="0" applyNumberFormat="1" applyBorder="1" applyAlignment="1">
      <alignment horizontal="center"/>
    </xf>
    <xf numFmtId="49" fontId="37" fillId="0" borderId="0" xfId="0" applyNumberFormat="1" applyFont="1" applyAlignment="1">
      <alignment vertical="center" wrapText="1"/>
    </xf>
    <xf numFmtId="0" fontId="37" fillId="0" borderId="0" xfId="0" applyFont="1" applyAlignment="1">
      <alignment horizontal="left" vertical="center" wrapText="1"/>
    </xf>
    <xf numFmtId="49" fontId="37" fillId="0" borderId="0" xfId="0" quotePrefix="1" applyNumberFormat="1" applyFont="1" applyAlignment="1">
      <alignment vertical="center" wrapText="1"/>
    </xf>
    <xf numFmtId="0" fontId="37" fillId="0" borderId="0" xfId="0" applyFont="1" applyAlignment="1">
      <alignment vertical="center" wrapText="1"/>
    </xf>
    <xf numFmtId="49" fontId="37" fillId="0" borderId="0" xfId="0" applyNumberFormat="1" applyFont="1" applyAlignment="1">
      <alignment horizontal="center" vertical="center" wrapText="1"/>
    </xf>
    <xf numFmtId="49" fontId="37" fillId="0" borderId="0" xfId="0" quotePrefix="1" applyNumberFormat="1" applyFont="1" applyAlignment="1">
      <alignment horizontal="center" vertical="center" wrapText="1"/>
    </xf>
    <xf numFmtId="49" fontId="0" fillId="0" borderId="0" xfId="0" applyNumberFormat="1"/>
    <xf numFmtId="49" fontId="32" fillId="0" borderId="0" xfId="0" applyNumberFormat="1" applyFont="1" applyAlignment="1">
      <alignment horizontal="left" vertical="top" wrapText="1"/>
    </xf>
    <xf numFmtId="0" fontId="7"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7"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1" fillId="7" borderId="14" xfId="0" applyFont="1" applyFill="1" applyBorder="1" applyAlignment="1">
      <alignment horizontal="center"/>
    </xf>
    <xf numFmtId="49" fontId="1" fillId="7" borderId="14" xfId="0" applyNumberFormat="1" applyFont="1" applyFill="1" applyBorder="1" applyAlignment="1">
      <alignment horizontal="center"/>
    </xf>
    <xf numFmtId="0" fontId="0" fillId="7" borderId="0" xfId="0" applyFill="1" applyAlignment="1">
      <alignment horizontal="center"/>
    </xf>
    <xf numFmtId="0" fontId="2"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1" fillId="7" borderId="13" xfId="0" applyFont="1" applyFill="1" applyBorder="1" applyAlignment="1">
      <alignment horizontal="center"/>
    </xf>
    <xf numFmtId="2" fontId="1" fillId="7" borderId="14" xfId="0" applyNumberFormat="1" applyFont="1" applyFill="1" applyBorder="1" applyAlignment="1">
      <alignment horizontal="center"/>
    </xf>
    <xf numFmtId="2" fontId="2"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1" fillId="7" borderId="15" xfId="0" applyFont="1" applyFill="1" applyBorder="1" applyAlignment="1" applyProtection="1">
      <alignment horizontal="center" wrapText="1" shrinkToFit="1"/>
      <protection hidden="1"/>
    </xf>
    <xf numFmtId="0" fontId="1" fillId="7" borderId="13" xfId="0" applyFont="1" applyFill="1" applyBorder="1" applyAlignment="1" applyProtection="1">
      <alignment horizontal="center" wrapText="1" shrinkToFit="1"/>
      <protection hidden="1"/>
    </xf>
    <xf numFmtId="0" fontId="1" fillId="7" borderId="0" xfId="0" applyFont="1" applyFill="1"/>
    <xf numFmtId="165" fontId="0" fillId="7" borderId="14" xfId="0" applyNumberFormat="1" applyFill="1" applyBorder="1" applyAlignment="1">
      <alignment horizontal="center"/>
    </xf>
    <xf numFmtId="0" fontId="38" fillId="0" borderId="0" xfId="0" applyFont="1"/>
    <xf numFmtId="0" fontId="18" fillId="0" borderId="0" xfId="0" applyFont="1" applyAlignment="1">
      <alignment horizontal="left" vertical="top" wrapText="1"/>
    </xf>
    <xf numFmtId="2" fontId="0" fillId="0" borderId="0" xfId="0" applyNumberFormat="1" applyAlignment="1" applyProtection="1">
      <alignment horizontal="center"/>
      <protection locked="0"/>
    </xf>
    <xf numFmtId="0" fontId="2" fillId="0" borderId="17" xfId="0" applyFont="1" applyBorder="1" applyAlignment="1">
      <alignment vertical="center"/>
    </xf>
    <xf numFmtId="0" fontId="39" fillId="0" borderId="17" xfId="4" applyFont="1" applyBorder="1" applyAlignment="1">
      <alignment vertical="center"/>
    </xf>
    <xf numFmtId="0" fontId="1" fillId="0" borderId="0" xfId="4" applyFont="1" applyAlignment="1">
      <alignment horizontal="center"/>
    </xf>
    <xf numFmtId="0" fontId="39" fillId="0" borderId="0" xfId="4" applyFont="1" applyAlignment="1">
      <alignment vertical="center"/>
    </xf>
    <xf numFmtId="0" fontId="0" fillId="0" borderId="0" xfId="0" applyAlignment="1">
      <alignment vertical="center"/>
    </xf>
    <xf numFmtId="0" fontId="2" fillId="0" borderId="0" xfId="4" applyFont="1" applyAlignment="1">
      <alignment horizontal="center" vertical="center"/>
    </xf>
    <xf numFmtId="2" fontId="29" fillId="0" borderId="0" xfId="4" applyNumberFormat="1" applyAlignment="1">
      <alignment horizontal="center"/>
    </xf>
    <xf numFmtId="0" fontId="0" fillId="0" borderId="0" xfId="0" applyAlignment="1">
      <alignment horizontal="center" vertical="top"/>
    </xf>
    <xf numFmtId="0" fontId="3" fillId="0" borderId="39" xfId="0" applyFont="1" applyBorder="1" applyAlignment="1">
      <alignment horizontal="center"/>
    </xf>
    <xf numFmtId="0" fontId="1" fillId="0" borderId="40" xfId="4" applyFont="1" applyBorder="1" applyAlignment="1">
      <alignment horizontal="center"/>
    </xf>
    <xf numFmtId="2" fontId="29" fillId="9" borderId="39" xfId="4" applyNumberFormat="1" applyFill="1" applyBorder="1" applyAlignment="1" applyProtection="1">
      <alignment horizontal="center"/>
      <protection locked="0"/>
    </xf>
    <xf numFmtId="2" fontId="29" fillId="0" borderId="39" xfId="4" applyNumberFormat="1" applyBorder="1" applyAlignment="1">
      <alignment horizontal="center"/>
    </xf>
    <xf numFmtId="0" fontId="1" fillId="0" borderId="42" xfId="4" applyFont="1" applyBorder="1" applyAlignment="1">
      <alignment horizontal="center"/>
    </xf>
    <xf numFmtId="0" fontId="39" fillId="0" borderId="21" xfId="4" applyFont="1" applyBorder="1" applyAlignment="1">
      <alignment vertical="center"/>
    </xf>
    <xf numFmtId="2" fontId="29"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1" fillId="0" borderId="0" xfId="0" quotePrefix="1" applyNumberFormat="1" applyFont="1" applyAlignment="1">
      <alignment horizontal="center" vertical="center"/>
    </xf>
    <xf numFmtId="171" fontId="22" fillId="0" borderId="0" xfId="0" quotePrefix="1" applyNumberFormat="1" applyFont="1" applyAlignment="1">
      <alignment horizontal="left" vertical="top"/>
    </xf>
    <xf numFmtId="0" fontId="3" fillId="0" borderId="0" xfId="0" applyFont="1" applyAlignment="1">
      <alignment horizontal="center" vertical="center"/>
    </xf>
    <xf numFmtId="165" fontId="1" fillId="0" borderId="0" xfId="0" applyNumberFormat="1" applyFont="1" applyAlignment="1">
      <alignment horizontal="center" vertical="center"/>
    </xf>
    <xf numFmtId="0" fontId="0" fillId="12" borderId="0" xfId="0" applyFill="1" applyAlignment="1">
      <alignment horizontal="center" vertical="center"/>
    </xf>
    <xf numFmtId="0" fontId="40" fillId="0" borderId="0" xfId="0" applyFont="1" applyAlignment="1">
      <alignment horizontal="left" vertical="top"/>
    </xf>
    <xf numFmtId="0" fontId="42" fillId="0" borderId="0" xfId="0" applyFont="1"/>
    <xf numFmtId="0" fontId="1"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1"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1" fillId="0" borderId="3" xfId="0" applyFont="1" applyBorder="1"/>
    <xf numFmtId="0" fontId="1" fillId="0" borderId="4" xfId="0" applyFont="1" applyBorder="1"/>
    <xf numFmtId="0" fontId="1" fillId="0" borderId="5" xfId="0" applyFont="1" applyBorder="1"/>
    <xf numFmtId="0" fontId="1" fillId="11" borderId="0" xfId="0" applyFont="1" applyFill="1"/>
    <xf numFmtId="0" fontId="1"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1"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2" fillId="0" borderId="0" xfId="0" applyFont="1" applyAlignment="1">
      <alignment horizontal="center"/>
    </xf>
    <xf numFmtId="0" fontId="3"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3" fillId="15" borderId="0" xfId="0" applyFont="1" applyFill="1" applyAlignment="1">
      <alignment horizontal="center"/>
    </xf>
    <xf numFmtId="0" fontId="3" fillId="15" borderId="23" xfId="0" applyFont="1" applyFill="1" applyBorder="1" applyAlignment="1">
      <alignment horizontal="center" wrapText="1"/>
    </xf>
    <xf numFmtId="0" fontId="3" fillId="15" borderId="23" xfId="0" applyFont="1" applyFill="1" applyBorder="1" applyAlignment="1">
      <alignment wrapText="1"/>
    </xf>
    <xf numFmtId="0" fontId="3"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6" fillId="7" borderId="0" xfId="0" applyFont="1" applyFill="1" applyProtection="1">
      <protection hidden="1"/>
    </xf>
    <xf numFmtId="0" fontId="0" fillId="8" borderId="2" xfId="0" applyFill="1" applyBorder="1" applyAlignment="1">
      <alignment vertical="center"/>
    </xf>
    <xf numFmtId="165" fontId="1" fillId="8" borderId="0" xfId="0" applyNumberFormat="1" applyFont="1" applyFill="1" applyAlignment="1">
      <alignment horizontal="center" vertical="center"/>
    </xf>
    <xf numFmtId="0" fontId="1"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4" fillId="0" borderId="0" xfId="0" applyFont="1" applyAlignment="1" applyProtection="1">
      <alignment horizontal="center" vertical="top" wrapText="1"/>
      <protection hidden="1"/>
    </xf>
    <xf numFmtId="0" fontId="3" fillId="0" borderId="31" xfId="0" applyFont="1" applyBorder="1" applyAlignment="1">
      <alignment horizontal="center"/>
    </xf>
    <xf numFmtId="0" fontId="0" fillId="0" borderId="18" xfId="0" applyBorder="1" applyAlignment="1">
      <alignment horizontal="center"/>
    </xf>
    <xf numFmtId="0" fontId="3" fillId="0" borderId="18" xfId="0" applyFont="1" applyBorder="1" applyAlignment="1">
      <alignment horizontal="center"/>
    </xf>
    <xf numFmtId="2" fontId="29"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1"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29" fillId="0" borderId="31" xfId="4" applyNumberFormat="1" applyBorder="1" applyAlignment="1">
      <alignment horizontal="center"/>
    </xf>
    <xf numFmtId="0" fontId="0" fillId="0" borderId="17" xfId="0" applyBorder="1" applyAlignment="1">
      <alignment horizontal="center"/>
    </xf>
    <xf numFmtId="2" fontId="29" fillId="0" borderId="23" xfId="4" applyNumberFormat="1" applyBorder="1" applyAlignment="1">
      <alignment horizontal="center"/>
    </xf>
    <xf numFmtId="0" fontId="3" fillId="0" borderId="17" xfId="0" applyFont="1" applyBorder="1" applyAlignment="1">
      <alignment horizontal="center"/>
    </xf>
    <xf numFmtId="0" fontId="3" fillId="0" borderId="0" xfId="4" applyFont="1" applyAlignment="1">
      <alignment horizontal="center" wrapText="1" shrinkToFit="1"/>
    </xf>
    <xf numFmtId="0" fontId="3" fillId="0" borderId="0" xfId="0" applyFont="1" applyAlignment="1">
      <alignment wrapText="1" shrinkToFit="1"/>
    </xf>
    <xf numFmtId="2" fontId="29" fillId="0" borderId="29" xfId="4" applyNumberFormat="1" applyBorder="1" applyAlignment="1">
      <alignment horizontal="center"/>
    </xf>
    <xf numFmtId="2" fontId="0" fillId="0" borderId="21" xfId="0" applyNumberFormat="1" applyBorder="1" applyAlignment="1">
      <alignment horizontal="center"/>
    </xf>
    <xf numFmtId="0" fontId="39"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3" fillId="0" borderId="16" xfId="0" applyFont="1" applyBorder="1" applyAlignment="1">
      <alignment horizontal="center" wrapText="1" shrinkToFit="1"/>
    </xf>
    <xf numFmtId="0" fontId="23" fillId="0" borderId="26" xfId="0" applyFont="1" applyBorder="1" applyAlignment="1">
      <alignment horizontal="center" wrapText="1" shrinkToFit="1"/>
    </xf>
    <xf numFmtId="0" fontId="23"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 fillId="0" borderId="6" xfId="0" applyFont="1" applyBorder="1" applyAlignment="1">
      <alignment horizontal="center"/>
    </xf>
    <xf numFmtId="0" fontId="1" fillId="0" borderId="0" xfId="0" applyFont="1" applyAlignment="1">
      <alignment horizontal="center"/>
    </xf>
    <xf numFmtId="0" fontId="1" fillId="0" borderId="7" xfId="0" applyFont="1" applyBorder="1" applyAlignment="1">
      <alignment horizontal="center"/>
    </xf>
    <xf numFmtId="0" fontId="1" fillId="0" borderId="1" xfId="0" applyFont="1" applyBorder="1" applyAlignment="1">
      <alignment horizontal="center"/>
    </xf>
    <xf numFmtId="0" fontId="0" fillId="0" borderId="5" xfId="0" applyBorder="1" applyAlignment="1">
      <alignment horizontal="center"/>
    </xf>
    <xf numFmtId="0" fontId="1"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1" fillId="0" borderId="3" xfId="0" applyNumberFormat="1" applyFont="1" applyBorder="1" applyAlignment="1">
      <alignment horizontal="center" vertical="center"/>
    </xf>
    <xf numFmtId="1" fontId="1" fillId="0" borderId="4" xfId="0" applyNumberFormat="1" applyFont="1" applyBorder="1" applyAlignment="1">
      <alignment horizontal="center" vertical="center"/>
    </xf>
    <xf numFmtId="1" fontId="1" fillId="0" borderId="5" xfId="0" applyNumberFormat="1" applyFont="1" applyBorder="1" applyAlignment="1">
      <alignment horizontal="center" vertical="center"/>
    </xf>
    <xf numFmtId="1" fontId="1" fillId="0" borderId="6" xfId="0" applyNumberFormat="1" applyFont="1" applyBorder="1" applyAlignment="1">
      <alignment horizontal="center" vertical="center"/>
    </xf>
    <xf numFmtId="1" fontId="1" fillId="0" borderId="0" xfId="0" applyNumberFormat="1" applyFont="1" applyAlignment="1">
      <alignment horizontal="center" vertical="center"/>
    </xf>
    <xf numFmtId="1" fontId="1" fillId="0" borderId="7"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36" xfId="0" applyNumberFormat="1" applyFont="1" applyBorder="1" applyAlignment="1">
      <alignment horizontal="center" vertical="center"/>
    </xf>
    <xf numFmtId="1" fontId="1"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1"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1"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1"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1"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7" fillId="0" borderId="6" xfId="0" applyFont="1" applyBorder="1" applyAlignment="1">
      <alignment horizontal="center"/>
    </xf>
    <xf numFmtId="0" fontId="7" fillId="0" borderId="0" xfId="0" applyFont="1" applyAlignment="1">
      <alignment horizontal="center"/>
    </xf>
    <xf numFmtId="0" fontId="7"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6" fillId="0" borderId="13" xfId="0" applyNumberFormat="1" applyFont="1" applyBorder="1" applyAlignment="1">
      <alignment horizontal="center" vertical="center" wrapText="1" shrinkToFit="1"/>
    </xf>
    <xf numFmtId="172" fontId="16" fillId="0" borderId="49" xfId="0" applyNumberFormat="1" applyFont="1" applyBorder="1" applyAlignment="1">
      <alignment horizontal="center" vertical="center" wrapText="1" shrinkToFit="1"/>
    </xf>
    <xf numFmtId="172" fontId="16"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1"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5" fillId="0" borderId="13" xfId="0" applyFont="1" applyBorder="1" applyAlignment="1">
      <alignment horizontal="center"/>
    </xf>
    <xf numFmtId="0" fontId="0" fillId="0" borderId="49" xfId="0" applyBorder="1"/>
    <xf numFmtId="0" fontId="0" fillId="0" borderId="50" xfId="0" applyBorder="1"/>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1"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1" fillId="0" borderId="17" xfId="0" applyFont="1" applyBorder="1" applyAlignment="1">
      <alignment horizontal="center"/>
    </xf>
    <xf numFmtId="0" fontId="0" fillId="0" borderId="19" xfId="0"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2" fillId="0" borderId="19" xfId="0" applyFont="1" applyBorder="1" applyAlignment="1">
      <alignment horizontal="center" wrapText="1" shrinkToFit="1"/>
    </xf>
    <xf numFmtId="0" fontId="2" fillId="0" borderId="17" xfId="0" applyFont="1" applyBorder="1" applyAlignment="1">
      <alignment horizontal="center" wrapText="1" shrinkToFit="1"/>
    </xf>
    <xf numFmtId="0" fontId="2" fillId="0" borderId="18" xfId="0" applyFont="1" applyBorder="1" applyAlignment="1">
      <alignment horizontal="center" wrapText="1" shrinkToFit="1"/>
    </xf>
    <xf numFmtId="0" fontId="1" fillId="0" borderId="13" xfId="0" applyFont="1" applyBorder="1" applyAlignment="1">
      <alignment horizontal="center"/>
    </xf>
    <xf numFmtId="0" fontId="1" fillId="0" borderId="49" xfId="0" applyFont="1" applyBorder="1" applyAlignment="1">
      <alignment horizontal="center"/>
    </xf>
    <xf numFmtId="0" fontId="1" fillId="0" borderId="50" xfId="0" applyFont="1" applyBorder="1" applyAlignment="1">
      <alignment horizontal="center"/>
    </xf>
    <xf numFmtId="0" fontId="16" fillId="0" borderId="8" xfId="0" applyFont="1" applyBorder="1" applyAlignment="1">
      <alignment horizontal="center" textRotation="90"/>
    </xf>
    <xf numFmtId="0" fontId="16" fillId="0" borderId="9" xfId="0" applyFont="1" applyBorder="1" applyAlignment="1">
      <alignment horizontal="center" textRotation="90"/>
    </xf>
    <xf numFmtId="0" fontId="16" fillId="0" borderId="24" xfId="0" applyFont="1" applyBorder="1" applyAlignment="1">
      <alignment horizontal="center" textRotation="90"/>
    </xf>
    <xf numFmtId="0" fontId="39" fillId="0" borderId="29" xfId="4" applyFont="1" applyBorder="1" applyAlignment="1">
      <alignment vertical="center"/>
    </xf>
    <xf numFmtId="0" fontId="0" fillId="0" borderId="21" xfId="0" applyBorder="1" applyAlignment="1">
      <alignment vertical="center"/>
    </xf>
    <xf numFmtId="0" fontId="2" fillId="0" borderId="29" xfId="4" applyFont="1" applyBorder="1" applyAlignment="1">
      <alignment horizontal="center" vertical="center"/>
    </xf>
    <xf numFmtId="0" fontId="0" fillId="0" borderId="21" xfId="0" applyBorder="1" applyAlignment="1">
      <alignment horizontal="center" vertical="center"/>
    </xf>
    <xf numFmtId="0" fontId="39" fillId="0" borderId="31" xfId="4" applyFont="1" applyBorder="1" applyAlignment="1">
      <alignment vertical="center"/>
    </xf>
    <xf numFmtId="0" fontId="0" fillId="0" borderId="17" xfId="0" applyBorder="1" applyAlignment="1">
      <alignment vertical="center"/>
    </xf>
    <xf numFmtId="166" fontId="3" fillId="10" borderId="31" xfId="0" applyNumberFormat="1" applyFont="1" applyFill="1" applyBorder="1" applyAlignment="1" applyProtection="1">
      <alignment horizontal="center" wrapText="1" shrinkToFit="1"/>
      <protection locked="0"/>
    </xf>
    <xf numFmtId="166" fontId="3" fillId="10" borderId="17" xfId="0" applyNumberFormat="1" applyFont="1" applyFill="1" applyBorder="1" applyAlignment="1" applyProtection="1">
      <alignment horizontal="center" wrapText="1" shrinkToFit="1"/>
      <protection locked="0"/>
    </xf>
    <xf numFmtId="166" fontId="3" fillId="10" borderId="18" xfId="0" applyNumberFormat="1" applyFont="1" applyFill="1" applyBorder="1" applyAlignment="1" applyProtection="1">
      <alignment horizontal="center" wrapText="1" shrinkToFit="1"/>
      <protection locked="0"/>
    </xf>
    <xf numFmtId="0" fontId="1" fillId="0" borderId="58" xfId="0" applyFont="1" applyBorder="1"/>
    <xf numFmtId="0" fontId="0" fillId="0" borderId="41" xfId="0" applyBorder="1"/>
    <xf numFmtId="0" fontId="7" fillId="0" borderId="19"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3" fillId="0" borderId="16" xfId="0" applyFont="1" applyBorder="1" applyAlignment="1">
      <alignment horizontal="center"/>
    </xf>
    <xf numFmtId="0" fontId="3" fillId="0" borderId="26" xfId="0" applyFont="1" applyBorder="1"/>
    <xf numFmtId="0" fontId="3" fillId="0" borderId="27" xfId="0" applyFont="1" applyBorder="1"/>
    <xf numFmtId="0" fontId="5" fillId="0" borderId="44"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1" fillId="0" borderId="23" xfId="0" applyFont="1" applyBorder="1" applyAlignment="1">
      <alignment horizontal="center"/>
    </xf>
    <xf numFmtId="0" fontId="1" fillId="0" borderId="8"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2"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9" fillId="0" borderId="11" xfId="0" applyFont="1" applyBorder="1" applyAlignment="1">
      <alignment horizontal="center"/>
    </xf>
    <xf numFmtId="0" fontId="6"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1" fillId="0" borderId="29" xfId="0" applyFont="1" applyBorder="1" applyAlignment="1">
      <alignment horizontal="center"/>
    </xf>
    <xf numFmtId="0" fontId="1"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1" fillId="4" borderId="40" xfId="0" applyFont="1" applyFill="1" applyBorder="1" applyAlignment="1" applyProtection="1">
      <alignment horizontal="center"/>
      <protection locked="0"/>
    </xf>
    <xf numFmtId="0" fontId="1" fillId="4" borderId="31" xfId="0" applyFont="1" applyFill="1" applyBorder="1" applyAlignment="1" applyProtection="1">
      <alignment horizontal="center"/>
      <protection locked="0"/>
    </xf>
    <xf numFmtId="0" fontId="1"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1" fillId="4" borderId="41" xfId="0" applyFont="1" applyFill="1" applyBorder="1" applyAlignment="1" applyProtection="1">
      <alignment horizontal="center"/>
      <protection locked="0"/>
    </xf>
    <xf numFmtId="0" fontId="1" fillId="4" borderId="24" xfId="0" applyFont="1" applyFill="1" applyBorder="1" applyAlignment="1" applyProtection="1">
      <alignment horizontal="center"/>
      <protection locked="0"/>
    </xf>
    <xf numFmtId="0" fontId="1" fillId="4" borderId="11" xfId="0" applyFont="1" applyFill="1" applyBorder="1" applyAlignment="1" applyProtection="1">
      <alignment horizontal="center"/>
      <protection locked="0"/>
    </xf>
    <xf numFmtId="0" fontId="1"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1" fillId="4" borderId="19" xfId="0" applyFont="1" applyFill="1" applyBorder="1" applyAlignment="1" applyProtection="1">
      <alignment horizontal="center"/>
      <protection locked="0"/>
    </xf>
    <xf numFmtId="0" fontId="1" fillId="4" borderId="17" xfId="0" applyFont="1" applyFill="1" applyBorder="1" applyAlignment="1" applyProtection="1">
      <alignment horizontal="center"/>
      <protection locked="0"/>
    </xf>
    <xf numFmtId="0" fontId="1" fillId="4" borderId="18" xfId="0" applyFont="1" applyFill="1" applyBorder="1" applyAlignment="1" applyProtection="1">
      <alignment horizontal="center"/>
      <protection locked="0"/>
    </xf>
    <xf numFmtId="0" fontId="1" fillId="4" borderId="20" xfId="0" applyFont="1" applyFill="1" applyBorder="1" applyAlignment="1" applyProtection="1">
      <alignment horizontal="center"/>
      <protection locked="0"/>
    </xf>
    <xf numFmtId="0" fontId="1" fillId="4" borderId="21" xfId="0" applyFont="1" applyFill="1" applyBorder="1" applyAlignment="1" applyProtection="1">
      <alignment horizontal="center"/>
      <protection locked="0"/>
    </xf>
    <xf numFmtId="0" fontId="1"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1" fillId="4" borderId="10" xfId="0" applyFont="1" applyFill="1" applyBorder="1" applyAlignment="1" applyProtection="1">
      <alignment horizontal="center"/>
      <protection locked="0"/>
    </xf>
    <xf numFmtId="0" fontId="1"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1" fillId="0" borderId="48" xfId="0" applyFont="1" applyBorder="1" applyAlignment="1">
      <alignment horizontal="center"/>
    </xf>
    <xf numFmtId="0" fontId="0" fillId="0" borderId="48" xfId="0" applyBorder="1" applyAlignment="1">
      <alignment horizontal="center"/>
    </xf>
    <xf numFmtId="0" fontId="1" fillId="0" borderId="0" xfId="0" applyFont="1" applyAlignment="1" applyProtection="1">
      <alignment horizontal="left" vertical="top"/>
      <protection hidden="1"/>
    </xf>
    <xf numFmtId="0" fontId="0" fillId="0" borderId="0" xfId="0" applyAlignment="1" applyProtection="1">
      <alignment horizontal="center"/>
      <protection hidden="1"/>
    </xf>
    <xf numFmtId="0" fontId="0" fillId="0" borderId="0" xfId="0"/>
    <xf numFmtId="0" fontId="5" fillId="0" borderId="24" xfId="0" applyFont="1" applyBorder="1" applyAlignment="1">
      <alignment horizontal="center"/>
    </xf>
    <xf numFmtId="0" fontId="5" fillId="0" borderId="11" xfId="0" applyFont="1" applyBorder="1" applyAlignment="1">
      <alignment horizontal="center"/>
    </xf>
    <xf numFmtId="0" fontId="0" fillId="0" borderId="11" xfId="0" applyBorder="1"/>
    <xf numFmtId="0" fontId="0" fillId="0" borderId="2" xfId="0" applyBorder="1" applyAlignment="1" applyProtection="1">
      <alignment horizontal="center"/>
      <protection locked="0"/>
    </xf>
    <xf numFmtId="1" fontId="1" fillId="4" borderId="31" xfId="0" applyNumberFormat="1" applyFont="1" applyFill="1" applyBorder="1" applyAlignment="1" applyProtection="1">
      <alignment horizontal="center"/>
      <protection locked="0"/>
    </xf>
    <xf numFmtId="0" fontId="1" fillId="0" borderId="28" xfId="0" applyFont="1" applyBorder="1" applyAlignment="1">
      <alignment horizontal="center"/>
    </xf>
    <xf numFmtId="171" fontId="1"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6" fillId="0" borderId="31" xfId="0" applyFont="1" applyBorder="1" applyAlignment="1">
      <alignment horizontal="center" vertical="center"/>
    </xf>
    <xf numFmtId="0" fontId="16" fillId="0" borderId="17" xfId="0" applyFont="1" applyBorder="1" applyAlignment="1">
      <alignment horizontal="center" vertical="center"/>
    </xf>
    <xf numFmtId="49" fontId="2" fillId="4" borderId="31" xfId="0" applyNumberFormat="1" applyFont="1" applyFill="1" applyBorder="1" applyAlignment="1" applyProtection="1">
      <alignment horizontal="center" vertical="top"/>
      <protection locked="0"/>
    </xf>
    <xf numFmtId="49" fontId="2" fillId="4" borderId="17" xfId="0" applyNumberFormat="1" applyFont="1" applyFill="1" applyBorder="1" applyAlignment="1" applyProtection="1">
      <alignment horizontal="center" vertical="top"/>
      <protection locked="0"/>
    </xf>
    <xf numFmtId="49" fontId="2" fillId="4" borderId="18" xfId="0" applyNumberFormat="1" applyFont="1" applyFill="1" applyBorder="1" applyAlignment="1" applyProtection="1">
      <alignment horizontal="center" vertical="top"/>
      <protection locked="0"/>
    </xf>
    <xf numFmtId="0" fontId="0" fillId="0" borderId="23" xfId="0" applyBorder="1" applyAlignment="1">
      <alignment horizontal="center" vertical="center"/>
    </xf>
    <xf numFmtId="0" fontId="0" fillId="0" borderId="39" xfId="0" applyBorder="1" applyAlignment="1">
      <alignment horizontal="center" vertical="center"/>
    </xf>
    <xf numFmtId="0" fontId="1" fillId="0" borderId="23" xfId="0" applyFont="1" applyBorder="1" applyAlignment="1">
      <alignment horizontal="center" vertical="center"/>
    </xf>
    <xf numFmtId="2" fontId="7" fillId="0" borderId="49" xfId="0" applyNumberFormat="1" applyFont="1" applyBorder="1" applyAlignment="1">
      <alignment horizont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0" borderId="51"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0" fontId="1"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1"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0" fillId="0" borderId="49" xfId="0" applyBorder="1" applyAlignment="1">
      <alignment horizontal="center"/>
    </xf>
    <xf numFmtId="0" fontId="0" fillId="13" borderId="31" xfId="0" applyFill="1" applyBorder="1" applyProtection="1">
      <protection locked="0"/>
    </xf>
    <xf numFmtId="0" fontId="0" fillId="13" borderId="17" xfId="0" applyFill="1" applyBorder="1" applyProtection="1">
      <protection locked="0"/>
    </xf>
    <xf numFmtId="0" fontId="0" fillId="13" borderId="18" xfId="0" applyFill="1" applyBorder="1" applyProtection="1">
      <protection locked="0"/>
    </xf>
    <xf numFmtId="0" fontId="45" fillId="14" borderId="91" xfId="0" applyFont="1" applyFill="1" applyBorder="1" applyProtection="1">
      <protection locked="0"/>
    </xf>
    <xf numFmtId="0" fontId="45" fillId="14" borderId="92" xfId="0" applyFont="1" applyFill="1" applyBorder="1" applyProtection="1">
      <protection locked="0"/>
    </xf>
    <xf numFmtId="0" fontId="45" fillId="14" borderId="93" xfId="0" applyFont="1" applyFill="1" applyBorder="1" applyProtection="1">
      <protection locked="0"/>
    </xf>
    <xf numFmtId="2" fontId="0" fillId="4" borderId="17" xfId="0" applyNumberFormat="1" applyFill="1" applyBorder="1" applyAlignment="1" applyProtection="1">
      <alignment horizontal="center" vertical="center"/>
      <protection locked="0"/>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0" fontId="0" fillId="13" borderId="87" xfId="0" applyFill="1" applyBorder="1" applyProtection="1">
      <protection locked="0"/>
    </xf>
    <xf numFmtId="0" fontId="0" fillId="0" borderId="40" xfId="0" applyBorder="1" applyAlignment="1">
      <alignment horizontal="center" vertical="center"/>
    </xf>
    <xf numFmtId="164" fontId="0" fillId="0" borderId="23" xfId="0" applyNumberForma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1" fillId="0" borderId="19" xfId="0" applyFont="1" applyBorder="1" applyAlignment="1">
      <alignment horizontal="center" vertical="center"/>
    </xf>
    <xf numFmtId="165" fontId="1" fillId="6" borderId="0" xfId="0" applyNumberFormat="1" applyFont="1" applyFill="1" applyAlignment="1">
      <alignment horizontal="center" vertical="center" wrapText="1" shrinkToFit="1"/>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14" fontId="0" fillId="4" borderId="17" xfId="0" applyNumberFormat="1" applyFill="1" applyBorder="1" applyAlignment="1" applyProtection="1">
      <alignment horizontal="center"/>
      <protection locked="0"/>
    </xf>
    <xf numFmtId="0" fontId="1" fillId="0" borderId="15" xfId="0" applyFont="1" applyBorder="1" applyAlignment="1">
      <alignment horizontal="left" wrapText="1" shrinkToFit="1"/>
    </xf>
    <xf numFmtId="0" fontId="1" fillId="0" borderId="36" xfId="0" applyFont="1" applyBorder="1" applyAlignment="1">
      <alignment horizontal="left" wrapText="1" shrinkToFit="1"/>
    </xf>
    <xf numFmtId="0" fontId="1" fillId="0" borderId="81" xfId="0" applyFont="1" applyBorder="1" applyAlignment="1">
      <alignment horizontal="left" wrapText="1" shrinkToFit="1"/>
    </xf>
    <xf numFmtId="0" fontId="1" fillId="0" borderId="0" xfId="0" applyFont="1" applyAlignment="1" applyProtection="1">
      <alignment horizontal="right" wrapText="1" shrinkToFit="1"/>
      <protection locked="0"/>
    </xf>
    <xf numFmtId="0" fontId="1" fillId="0" borderId="0" xfId="0" applyFont="1" applyAlignment="1">
      <alignment horizontal="right" wrapText="1" shrinkToFit="1"/>
    </xf>
    <xf numFmtId="14" fontId="0" fillId="0" borderId="17" xfId="0" applyNumberFormat="1" applyBorder="1" applyAlignment="1">
      <alignment horizontal="center"/>
    </xf>
    <xf numFmtId="0" fontId="3" fillId="0" borderId="29" xfId="0" applyFont="1" applyBorder="1" applyAlignment="1">
      <alignment horizontal="center" vertical="center"/>
    </xf>
    <xf numFmtId="0" fontId="3" fillId="0" borderId="21" xfId="0" applyFont="1" applyBorder="1" applyAlignment="1">
      <alignment horizontal="center" vertical="center"/>
    </xf>
    <xf numFmtId="0" fontId="3" fillId="0" borderId="30" xfId="0" applyFont="1" applyBorder="1" applyAlignment="1">
      <alignment horizontal="center" vertical="center"/>
    </xf>
    <xf numFmtId="0" fontId="1" fillId="4" borderId="36" xfId="0" applyFont="1" applyFill="1" applyBorder="1" applyAlignment="1" applyProtection="1">
      <alignment horizontal="left" wrapText="1" shrinkToFit="1"/>
      <protection locked="0"/>
    </xf>
    <xf numFmtId="0" fontId="1"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2" fillId="6" borderId="26" xfId="0" applyFont="1" applyFill="1" applyBorder="1"/>
    <xf numFmtId="0" fontId="0" fillId="6" borderId="26" xfId="0" applyFill="1" applyBorder="1"/>
    <xf numFmtId="0" fontId="0" fillId="4" borderId="49" xfId="0" applyFill="1" applyBorder="1" applyAlignment="1" applyProtection="1">
      <alignment horizontal="center"/>
      <protection locked="0"/>
    </xf>
    <xf numFmtId="0" fontId="1" fillId="0" borderId="42" xfId="0" applyFont="1" applyBorder="1" applyAlignment="1">
      <alignment horizontal="center" vertical="center"/>
    </xf>
    <xf numFmtId="0" fontId="0" fillId="0" borderId="43" xfId="0" applyBorder="1" applyAlignment="1">
      <alignment horizontal="center" vertical="center"/>
    </xf>
    <xf numFmtId="165" fontId="1" fillId="0" borderId="43" xfId="0" applyNumberFormat="1" applyFont="1" applyBorder="1" applyAlignment="1">
      <alignment horizontal="center" vertical="center"/>
    </xf>
    <xf numFmtId="165" fontId="1" fillId="0" borderId="47" xfId="0" applyNumberFormat="1" applyFont="1" applyBorder="1" applyAlignment="1">
      <alignment horizontal="center" vertical="center"/>
    </xf>
    <xf numFmtId="0" fontId="45" fillId="14" borderId="0" xfId="0" applyFont="1" applyFill="1" applyProtection="1">
      <protection locked="0"/>
    </xf>
    <xf numFmtId="0" fontId="0" fillId="13" borderId="36" xfId="0" applyFill="1" applyBorder="1" applyAlignment="1" applyProtection="1">
      <alignment wrapText="1"/>
      <protection locked="0"/>
    </xf>
    <xf numFmtId="0" fontId="45" fillId="14" borderId="94" xfId="0" applyFont="1" applyFill="1" applyBorder="1" applyAlignment="1" applyProtection="1">
      <alignment horizontal="center"/>
      <protection locked="0"/>
    </xf>
    <xf numFmtId="14" fontId="45" fillId="14" borderId="94"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0" borderId="84" xfId="0" applyNumberFormat="1" applyBorder="1" applyAlignment="1">
      <alignment horizontal="center" vertical="center"/>
    </xf>
    <xf numFmtId="165" fontId="0" fillId="0" borderId="85"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40" fillId="0" borderId="0" xfId="0" applyFont="1" applyAlignment="1">
      <alignment horizontal="center" wrapText="1" shrinkToFit="1"/>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1"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1" fillId="13" borderId="29" xfId="0" applyFont="1" applyFill="1" applyBorder="1" applyAlignment="1" applyProtection="1">
      <alignment horizontal="center"/>
      <protection locked="0"/>
    </xf>
    <xf numFmtId="0" fontId="1" fillId="13" borderId="22" xfId="0"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2" xfId="0" applyNumberFormat="1" applyBorder="1" applyAlignment="1">
      <alignment horizontal="center" vertical="center"/>
    </xf>
    <xf numFmtId="165" fontId="1" fillId="0" borderId="31" xfId="0" applyNumberFormat="1" applyFont="1" applyBorder="1" applyAlignment="1">
      <alignment horizontal="center" vertical="center"/>
    </xf>
    <xf numFmtId="165" fontId="1" fillId="0" borderId="17"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5" fillId="0" borderId="0" xfId="0" applyFont="1" applyAlignment="1">
      <alignment horizont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0" fillId="0" borderId="13" xfId="0" applyBorder="1" applyAlignment="1">
      <alignment horizontal="center"/>
    </xf>
    <xf numFmtId="0" fontId="2" fillId="0" borderId="0" xfId="0" applyFont="1" applyAlignment="1">
      <alignment horizontal="center"/>
    </xf>
    <xf numFmtId="49" fontId="2" fillId="4" borderId="43" xfId="0" applyNumberFormat="1" applyFont="1"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5" fillId="14" borderId="89" xfId="0" applyFont="1" applyFill="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0" fillId="4" borderId="49" xfId="0" applyFill="1" applyBorder="1" applyProtection="1">
      <protection locked="0"/>
    </xf>
    <xf numFmtId="0" fontId="1" fillId="0" borderId="16" xfId="0" applyFont="1" applyBorder="1" applyAlignment="1">
      <alignment horizontal="center" wrapText="1" shrinkToFit="1"/>
    </xf>
    <xf numFmtId="0" fontId="1" fillId="0" borderId="26" xfId="0" applyFont="1" applyBorder="1" applyAlignment="1">
      <alignment horizontal="center" wrapText="1" shrinkToFit="1"/>
    </xf>
    <xf numFmtId="0" fontId="1" fillId="0" borderId="27" xfId="0" applyFont="1" applyBorder="1" applyAlignment="1">
      <alignment horizontal="center" wrapText="1" shrinkToFit="1"/>
    </xf>
    <xf numFmtId="0" fontId="45" fillId="14" borderId="90" xfId="0" applyFont="1" applyFill="1" applyBorder="1" applyAlignment="1" applyProtection="1">
      <alignment horizontal="center"/>
      <protection locked="0"/>
    </xf>
    <xf numFmtId="0" fontId="1" fillId="0" borderId="36" xfId="0" applyFont="1" applyBorder="1" applyAlignment="1" applyProtection="1">
      <alignment horizontal="center"/>
      <protection hidden="1"/>
    </xf>
    <xf numFmtId="0" fontId="3" fillId="0" borderId="13" xfId="0" applyFont="1" applyBorder="1" applyAlignment="1">
      <alignment horizontal="center"/>
    </xf>
    <xf numFmtId="0" fontId="10" fillId="0" borderId="49" xfId="0" applyFont="1" applyBorder="1" applyAlignment="1" applyProtection="1">
      <alignment horizontal="center"/>
      <protection locked="0"/>
    </xf>
    <xf numFmtId="0" fontId="10" fillId="0" borderId="50" xfId="0" applyFont="1" applyBorder="1" applyAlignment="1" applyProtection="1">
      <alignment horizontal="center"/>
      <protection locked="0"/>
    </xf>
    <xf numFmtId="49" fontId="1" fillId="4" borderId="22" xfId="0" applyNumberFormat="1" applyFont="1" applyFill="1" applyBorder="1" applyAlignment="1" applyProtection="1">
      <alignment horizontal="center" vertical="center"/>
      <protection locked="0"/>
    </xf>
    <xf numFmtId="49" fontId="1" fillId="4" borderId="43" xfId="0" applyNumberFormat="1" applyFont="1" applyFill="1" applyBorder="1" applyAlignment="1" applyProtection="1">
      <alignment horizontal="center" vertical="center"/>
      <protection locked="0"/>
    </xf>
    <xf numFmtId="49" fontId="1" fillId="4" borderId="47" xfId="0" applyNumberFormat="1" applyFont="1" applyFill="1" applyBorder="1" applyAlignment="1" applyProtection="1">
      <alignment horizontal="center" vertical="center"/>
      <protection locked="0"/>
    </xf>
    <xf numFmtId="0" fontId="2" fillId="4" borderId="40" xfId="0" applyFont="1" applyFill="1" applyBorder="1" applyAlignment="1" applyProtection="1">
      <alignment horizontal="center"/>
      <protection locked="0"/>
    </xf>
    <xf numFmtId="0" fontId="2" fillId="4" borderId="23" xfId="0" applyFont="1" applyFill="1" applyBorder="1" applyAlignment="1" applyProtection="1">
      <alignment horizontal="center"/>
      <protection locked="0"/>
    </xf>
    <xf numFmtId="0" fontId="2" fillId="4" borderId="39" xfId="0" applyFont="1" applyFill="1" applyBorder="1" applyAlignment="1" applyProtection="1">
      <alignment horizontal="center"/>
      <protection locked="0"/>
    </xf>
    <xf numFmtId="0" fontId="2" fillId="4" borderId="42" xfId="0" applyFont="1" applyFill="1" applyBorder="1" applyAlignment="1" applyProtection="1">
      <alignment horizontal="center"/>
      <protection locked="0"/>
    </xf>
    <xf numFmtId="0" fontId="2" fillId="4" borderId="43" xfId="0" applyFont="1" applyFill="1" applyBorder="1" applyAlignment="1" applyProtection="1">
      <alignment horizontal="center"/>
      <protection locked="0"/>
    </xf>
    <xf numFmtId="0" fontId="2" fillId="4" borderId="47" xfId="0" applyFont="1" applyFill="1" applyBorder="1" applyAlignment="1" applyProtection="1">
      <alignment horizontal="center"/>
      <protection locked="0"/>
    </xf>
    <xf numFmtId="0" fontId="2" fillId="0" borderId="41" xfId="0" applyFont="1" applyBorder="1" applyAlignment="1">
      <alignment horizontal="center"/>
    </xf>
    <xf numFmtId="0" fontId="2" fillId="0" borderId="25" xfId="0" applyFont="1" applyBorder="1" applyAlignment="1">
      <alignment horizontal="center"/>
    </xf>
    <xf numFmtId="0" fontId="2" fillId="0" borderId="32" xfId="0" applyFont="1" applyBorder="1" applyAlignment="1">
      <alignment horizontal="center"/>
    </xf>
    <xf numFmtId="0" fontId="16" fillId="13" borderId="17" xfId="0" applyFont="1" applyFill="1" applyBorder="1" applyProtection="1">
      <protection locked="0"/>
    </xf>
    <xf numFmtId="0" fontId="16" fillId="13" borderId="88" xfId="0" applyFont="1" applyFill="1" applyBorder="1" applyProtection="1">
      <protection locked="0"/>
    </xf>
    <xf numFmtId="49" fontId="1" fillId="4" borderId="42" xfId="0" applyNumberFormat="1" applyFont="1" applyFill="1" applyBorder="1" applyAlignment="1" applyProtection="1">
      <alignment horizontal="center" vertical="center"/>
      <protection locked="0"/>
    </xf>
    <xf numFmtId="49" fontId="1" fillId="4" borderId="29" xfId="0" applyNumberFormat="1" applyFont="1" applyFill="1" applyBorder="1" applyAlignment="1" applyProtection="1">
      <alignment horizontal="center" vertical="center"/>
      <protection locked="0"/>
    </xf>
    <xf numFmtId="49" fontId="1" fillId="4" borderId="21" xfId="0" applyNumberFormat="1" applyFont="1" applyFill="1" applyBorder="1" applyAlignment="1" applyProtection="1">
      <alignment horizontal="center" vertical="center"/>
      <protection locked="0"/>
    </xf>
    <xf numFmtId="0" fontId="1" fillId="4" borderId="29" xfId="0" applyFont="1" applyFill="1" applyBorder="1" applyAlignment="1" applyProtection="1">
      <alignment horizontal="center" vertical="center" wrapText="1" shrinkToFit="1"/>
      <protection locked="0"/>
    </xf>
    <xf numFmtId="0" fontId="1" fillId="4" borderId="21" xfId="0" applyFont="1" applyFill="1" applyBorder="1" applyAlignment="1" applyProtection="1">
      <alignment horizontal="center" vertical="center" wrapText="1" shrinkToFit="1"/>
      <protection locked="0"/>
    </xf>
    <xf numFmtId="0" fontId="1" fillId="4" borderId="22" xfId="0" applyFont="1" applyFill="1" applyBorder="1" applyAlignment="1" applyProtection="1">
      <alignment horizontal="center" vertical="center" wrapText="1" shrinkToFit="1"/>
      <protection locked="0"/>
    </xf>
    <xf numFmtId="0" fontId="2"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4" fillId="0" borderId="31" xfId="0" applyFont="1" applyBorder="1" applyAlignment="1">
      <alignment horizontal="center" wrapText="1" shrinkToFit="1"/>
    </xf>
    <xf numFmtId="0" fontId="24" fillId="0" borderId="17" xfId="0" applyFont="1" applyBorder="1" applyAlignment="1">
      <alignment horizontal="center" wrapText="1" shrinkToFit="1"/>
    </xf>
    <xf numFmtId="0" fontId="24" fillId="0" borderId="18" xfId="0" applyFont="1" applyBorder="1" applyAlignment="1">
      <alignment horizontal="center" wrapText="1" shrinkToFit="1"/>
    </xf>
    <xf numFmtId="0" fontId="7" fillId="0" borderId="31"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4" borderId="17" xfId="0" applyFont="1" applyFill="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29"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49" fontId="2" fillId="4" borderId="31" xfId="0" applyNumberFormat="1" applyFont="1" applyFill="1" applyBorder="1" applyAlignment="1" applyProtection="1">
      <alignment horizontal="center" vertical="top" wrapText="1"/>
      <protection locked="0"/>
    </xf>
    <xf numFmtId="0" fontId="2" fillId="0" borderId="12" xfId="0" applyFont="1" applyBorder="1" applyAlignment="1">
      <alignment horizontal="center"/>
    </xf>
    <xf numFmtId="0" fontId="0" fillId="0" borderId="32"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167" fontId="2" fillId="0" borderId="0" xfId="0" applyNumberFormat="1" applyFont="1" applyAlignment="1" applyProtection="1">
      <alignment horizontal="left"/>
      <protection locked="0"/>
    </xf>
    <xf numFmtId="0" fontId="1" fillId="13" borderId="17" xfId="0" applyFont="1" applyFill="1" applyBorder="1" applyProtection="1">
      <protection locked="0"/>
    </xf>
    <xf numFmtId="0" fontId="1" fillId="13" borderId="18" xfId="0" applyFont="1" applyFill="1" applyBorder="1" applyProtection="1">
      <protection locked="0"/>
    </xf>
    <xf numFmtId="0" fontId="16" fillId="0" borderId="8" xfId="0" applyFont="1" applyBorder="1" applyAlignment="1">
      <alignment horizontal="center" vertical="center" wrapText="1" shrinkToFit="1"/>
    </xf>
    <xf numFmtId="0" fontId="16" fillId="0" borderId="4" xfId="0" applyFont="1" applyBorder="1" applyAlignment="1">
      <alignment horizontal="center" vertical="center" wrapText="1" shrinkToFit="1"/>
    </xf>
    <xf numFmtId="0" fontId="16" fillId="0" borderId="5" xfId="0" applyFont="1" applyBorder="1" applyAlignment="1">
      <alignment horizontal="center" vertical="center" wrapText="1" shrinkToFit="1"/>
    </xf>
    <xf numFmtId="0" fontId="16" fillId="0" borderId="24" xfId="0" applyFont="1" applyBorder="1" applyAlignment="1">
      <alignment horizontal="center" vertical="center" wrapText="1" shrinkToFit="1"/>
    </xf>
    <xf numFmtId="0" fontId="16" fillId="0" borderId="11" xfId="0" applyFont="1" applyBorder="1" applyAlignment="1">
      <alignment horizontal="center" vertical="center" wrapText="1" shrinkToFit="1"/>
    </xf>
    <xf numFmtId="0" fontId="16"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0" fontId="1"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0" fontId="2" fillId="0" borderId="0" xfId="0" applyFont="1" applyAlignment="1" applyProtection="1">
      <alignment horizontal="center"/>
      <protection locked="0"/>
    </xf>
    <xf numFmtId="0" fontId="1"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49" fontId="2"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24" fillId="0" borderId="58" xfId="0" applyNumberFormat="1" applyFont="1" applyBorder="1" applyAlignment="1">
      <alignment horizontal="center" vertical="center" textRotation="90"/>
    </xf>
    <xf numFmtId="49" fontId="24" fillId="0" borderId="59" xfId="0" applyNumberFormat="1" applyFont="1" applyBorder="1" applyAlignment="1">
      <alignment horizontal="center" vertical="center" textRotation="90"/>
    </xf>
    <xf numFmtId="49" fontId="24" fillId="0" borderId="41" xfId="0" applyNumberFormat="1" applyFont="1" applyBorder="1" applyAlignment="1">
      <alignment horizontal="center" vertical="center" textRotation="90"/>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4" fontId="14" fillId="13" borderId="31" xfId="0" applyNumberFormat="1" applyFont="1" applyFill="1" applyBorder="1" applyAlignment="1" applyProtection="1">
      <alignment horizontal="center" wrapText="1"/>
      <protection locked="0"/>
    </xf>
    <xf numFmtId="0" fontId="14" fillId="13" borderId="17" xfId="0" applyFont="1" applyFill="1" applyBorder="1" applyAlignment="1" applyProtection="1">
      <alignment horizontal="center" wrapText="1"/>
      <protection locked="0"/>
    </xf>
    <xf numFmtId="0" fontId="14" fillId="13" borderId="87" xfId="0" applyFont="1" applyFill="1" applyBorder="1" applyAlignment="1" applyProtection="1">
      <alignment horizontal="center" wrapText="1"/>
      <protection locked="0"/>
    </xf>
    <xf numFmtId="14" fontId="14"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2" fillId="0" borderId="64" xfId="0" applyFont="1" applyBorder="1" applyAlignment="1">
      <alignment horizontal="center"/>
    </xf>
    <xf numFmtId="0" fontId="2" fillId="0" borderId="65" xfId="0" applyFont="1" applyBorder="1" applyAlignment="1">
      <alignment horizontal="center"/>
    </xf>
    <xf numFmtId="0" fontId="2" fillId="0" borderId="66" xfId="0" applyFont="1" applyBorder="1" applyAlignment="1">
      <alignment horizontal="center"/>
    </xf>
    <xf numFmtId="0" fontId="0" fillId="0" borderId="49" xfId="0" applyBorder="1" applyAlignment="1">
      <alignment horizontal="right"/>
    </xf>
    <xf numFmtId="167" fontId="7"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1" fillId="13" borderId="31" xfId="0" applyFont="1" applyFill="1" applyBorder="1" applyProtection="1">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0" fontId="1" fillId="0" borderId="68" xfId="0" applyFont="1" applyBorder="1" applyAlignment="1">
      <alignment horizontal="center"/>
    </xf>
    <xf numFmtId="2" fontId="7" fillId="0" borderId="49" xfId="0" applyNumberFormat="1" applyFont="1" applyBorder="1" applyAlignment="1">
      <alignment horizontal="right"/>
    </xf>
    <xf numFmtId="0" fontId="0" fillId="0" borderId="49" xfId="0" applyBorder="1" applyAlignment="1">
      <alignment horizontal="left"/>
    </xf>
    <xf numFmtId="164" fontId="1" fillId="0" borderId="23" xfId="0" applyNumberFormat="1" applyFont="1" applyBorder="1" applyAlignment="1">
      <alignment horizontal="center" vertical="center"/>
    </xf>
    <xf numFmtId="164" fontId="1" fillId="0" borderId="39" xfId="0" applyNumberFormat="1" applyFont="1" applyBorder="1" applyAlignment="1">
      <alignment horizontal="center" vertical="center"/>
    </xf>
    <xf numFmtId="0" fontId="0" fillId="0" borderId="31" xfId="0"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1"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164" fontId="1" fillId="8" borderId="23" xfId="0" applyNumberFormat="1" applyFont="1" applyFill="1" applyBorder="1" applyAlignment="1">
      <alignment horizontal="center" vertical="center"/>
    </xf>
    <xf numFmtId="164" fontId="1"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1" fillId="8" borderId="31" xfId="0" applyNumberFormat="1" applyFont="1" applyFill="1" applyBorder="1" applyAlignment="1">
      <alignment horizontal="center" vertical="center"/>
    </xf>
    <xf numFmtId="165" fontId="1" fillId="8" borderId="17" xfId="0" applyNumberFormat="1" applyFont="1" applyFill="1" applyBorder="1" applyAlignment="1">
      <alignment horizontal="center" vertical="center"/>
    </xf>
    <xf numFmtId="165" fontId="1"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3" fillId="8" borderId="29" xfId="0" applyFont="1" applyFill="1" applyBorder="1" applyAlignment="1">
      <alignment horizontal="center" vertical="center"/>
    </xf>
    <xf numFmtId="0" fontId="3" fillId="8" borderId="21" xfId="0" applyFont="1" applyFill="1" applyBorder="1" applyAlignment="1">
      <alignment horizontal="center" vertical="center"/>
    </xf>
    <xf numFmtId="0" fontId="3" fillId="8" borderId="30" xfId="0" applyFont="1" applyFill="1" applyBorder="1" applyAlignment="1">
      <alignment horizontal="center" vertical="center"/>
    </xf>
    <xf numFmtId="165" fontId="1" fillId="8" borderId="43" xfId="0" applyNumberFormat="1" applyFont="1" applyFill="1" applyBorder="1" applyAlignment="1">
      <alignment horizontal="center" vertical="center"/>
    </xf>
    <xf numFmtId="165" fontId="1"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1" fillId="4" borderId="0" xfId="0" applyNumberFormat="1" applyFont="1" applyFill="1" applyAlignment="1" applyProtection="1">
      <alignment horizontal="center" vertical="center" wrapText="1" shrinkToFit="1"/>
      <protection locked="0"/>
    </xf>
    <xf numFmtId="0" fontId="1" fillId="16" borderId="29" xfId="0" applyFont="1" applyFill="1" applyBorder="1" applyAlignment="1" applyProtection="1">
      <alignment horizontal="center"/>
      <protection locked="0"/>
    </xf>
    <xf numFmtId="0" fontId="1" fillId="16" borderId="22" xfId="0" applyFont="1" applyFill="1" applyBorder="1" applyAlignment="1" applyProtection="1">
      <alignment horizontal="center"/>
      <protection locked="0"/>
    </xf>
    <xf numFmtId="0" fontId="3" fillId="15" borderId="0" xfId="0" applyFont="1" applyFill="1" applyAlignment="1">
      <alignment horizont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27" fillId="0" borderId="77" xfId="0" applyFont="1" applyBorder="1" applyAlignment="1">
      <alignment horizontal="center" vertical="center" wrapText="1" shrinkToFit="1"/>
    </xf>
    <xf numFmtId="0" fontId="27" fillId="0" borderId="28"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27" fillId="0" borderId="1" xfId="0" applyFont="1" applyBorder="1" applyAlignment="1">
      <alignment horizontal="center" vertical="center" wrapText="1" shrinkToFit="1"/>
    </xf>
    <xf numFmtId="0" fontId="27" fillId="0" borderId="79" xfId="0" applyFont="1" applyBorder="1" applyAlignment="1">
      <alignment horizontal="center" vertical="center" wrapText="1" shrinkToFit="1"/>
    </xf>
    <xf numFmtId="0" fontId="27" fillId="0" borderId="75" xfId="0" applyFont="1" applyBorder="1" applyAlignment="1">
      <alignment horizontal="center" vertical="center" wrapText="1" shrinkToFit="1"/>
    </xf>
    <xf numFmtId="0" fontId="27" fillId="0" borderId="8"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3" fillId="0" borderId="0" xfId="0" applyFont="1" applyAlignment="1">
      <alignment horizontal="center"/>
    </xf>
    <xf numFmtId="0" fontId="0" fillId="0" borderId="0" xfId="0" applyAlignment="1">
      <alignment horizontal="right"/>
    </xf>
    <xf numFmtId="0" fontId="10" fillId="0" borderId="0" xfId="0" applyFont="1" applyAlignment="1">
      <alignment horizontal="right"/>
    </xf>
    <xf numFmtId="0" fontId="3"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1" fillId="0" borderId="31" xfId="0" applyNumberFormat="1" applyFont="1" applyBorder="1" applyAlignment="1">
      <alignment horizontal="center" wrapText="1"/>
    </xf>
    <xf numFmtId="168" fontId="1" fillId="0" borderId="17" xfId="0" applyNumberFormat="1" applyFont="1" applyBorder="1" applyAlignment="1">
      <alignment horizontal="center" wrapText="1"/>
    </xf>
    <xf numFmtId="168" fontId="1" fillId="0" borderId="18" xfId="0" applyNumberFormat="1" applyFont="1" applyBorder="1" applyAlignment="1">
      <alignment horizontal="center" wrapText="1"/>
    </xf>
    <xf numFmtId="0" fontId="1" fillId="0" borderId="10" xfId="0" applyFont="1" applyBorder="1" applyAlignment="1">
      <alignment horizontal="center"/>
    </xf>
    <xf numFmtId="1" fontId="0" fillId="0" borderId="11" xfId="0" applyNumberFormat="1" applyBorder="1" applyAlignment="1">
      <alignment horizontal="center"/>
    </xf>
    <xf numFmtId="0" fontId="1" fillId="0" borderId="23" xfId="0" applyFont="1" applyBorder="1" applyAlignment="1">
      <alignment horizontal="center" wrapText="1"/>
    </xf>
    <xf numFmtId="0" fontId="1" fillId="0" borderId="3" xfId="0" applyFont="1" applyBorder="1" applyAlignment="1">
      <alignment horizontal="center" vertical="center" wrapText="1" shrinkToFit="1"/>
    </xf>
    <xf numFmtId="0" fontId="1" fillId="0" borderId="10" xfId="0" applyFont="1" applyBorder="1" applyAlignment="1">
      <alignment horizontal="center" vertical="center"/>
    </xf>
    <xf numFmtId="0" fontId="1" fillId="0" borderId="31" xfId="0" applyFont="1" applyBorder="1" applyAlignment="1">
      <alignment horizontal="center" wrapText="1"/>
    </xf>
  </cellXfs>
  <cellStyles count="8">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Percent" xfId="7" builtinId="5"/>
  </cellStyles>
  <dxfs count="52">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
      <font>
        <color theme="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dxf>
    <dxf>
      <numFmt numFmtId="175" formatCode=";;;"/>
    </dxf>
    <dxf>
      <numFmt numFmtId="175" formatCode=";;;"/>
    </dxf>
    <dxf>
      <fill>
        <patternFill>
          <bgColor theme="4" tint="0.79998168889431442"/>
        </patternFill>
      </fill>
    </dxf>
    <dxf>
      <fill>
        <patternFill>
          <bgColor theme="4" tint="0.79998168889431442"/>
        </patternFill>
      </fill>
    </dxf>
    <dxf>
      <font>
        <color theme="0"/>
      </font>
    </dxf>
    <dxf>
      <font>
        <color theme="0"/>
      </font>
    </dxf>
    <dxf>
      <font>
        <color theme="0"/>
      </font>
      <numFmt numFmtId="175" formatCode=";;;"/>
    </dxf>
    <dxf>
      <font>
        <color theme="0"/>
      </font>
    </dxf>
    <dxf>
      <font>
        <b/>
        <i val="0"/>
      </font>
      <fill>
        <patternFill>
          <bgColor rgb="FF92D050"/>
        </patternFill>
      </fill>
    </dxf>
    <dxf>
      <font>
        <b/>
        <i val="0"/>
      </font>
      <fill>
        <patternFill>
          <bgColor rgb="FFFF3300"/>
        </patternFill>
      </fill>
    </dxf>
    <dxf>
      <font>
        <b val="0"/>
        <i val="0"/>
        <color theme="9" tint="-0.24994659260841701"/>
      </font>
    </dxf>
    <dxf>
      <font>
        <color theme="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dxf>
    <dxf>
      <numFmt numFmtId="175" formatCode=";;;"/>
    </dxf>
    <dxf>
      <numFmt numFmtId="175" formatCode=";;;"/>
    </dxf>
    <dxf>
      <fill>
        <patternFill>
          <bgColor theme="4" tint="0.79998168889431442"/>
        </patternFill>
      </fill>
    </dxf>
    <dxf>
      <fill>
        <patternFill>
          <bgColor theme="4" tint="0.79998168889431442"/>
        </patternFill>
      </fill>
    </dxf>
    <dxf>
      <font>
        <color theme="0"/>
      </font>
    </dxf>
    <dxf>
      <font>
        <color theme="0"/>
      </font>
    </dxf>
    <dxf>
      <font>
        <color theme="0"/>
      </font>
      <numFmt numFmtId="175" formatCode=";;;"/>
    </dxf>
    <dxf>
      <font>
        <color theme="0"/>
      </font>
    </dxf>
    <dxf>
      <fill>
        <patternFill>
          <bgColor rgb="FFFFFF00"/>
        </patternFill>
      </fill>
    </dxf>
    <dxf>
      <fill>
        <patternFill>
          <bgColor rgb="FFFF3300"/>
        </patternFill>
      </fill>
    </dxf>
    <dxf>
      <fill>
        <patternFill>
          <bgColor rgb="FFFF0000"/>
        </patternFill>
      </fill>
    </dxf>
    <dxf>
      <font>
        <b/>
        <i val="0"/>
      </font>
      <fill>
        <patternFill>
          <bgColor rgb="FF92D050"/>
        </patternFill>
      </fill>
    </dxf>
    <dxf>
      <font>
        <b/>
        <i val="0"/>
      </font>
      <fill>
        <patternFill>
          <bgColor rgb="FFFF3300"/>
        </patternFill>
      </fill>
    </dxf>
    <dxf>
      <font>
        <b val="0"/>
        <i val="0"/>
        <color theme="9" tint="-0.24994659260841701"/>
      </font>
    </dxf>
  </dxfs>
  <tableStyles count="0" defaultTableStyle="TableStyleMedium9" defaultPivotStyle="PivotStyleLight16"/>
  <colors>
    <mruColors>
      <color rgb="FF000099"/>
      <color rgb="FFC6C3B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7.0000000000000007E-2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7.0000000000000007E-2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topLeftCell="A128" workbookViewId="0">
      <selection activeCell="I158" sqref="I158:AC158"/>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7" customWidth="1"/>
    <col min="32" max="32" width="3.140625" style="177" hidden="1" customWidth="1"/>
    <col min="33" max="33" width="0" style="177" hidden="1" customWidth="1"/>
    <col min="34" max="92" width="9.140625" style="177"/>
  </cols>
  <sheetData>
    <row r="1" spans="1:92" ht="20.25" x14ac:dyDescent="0.3">
      <c r="A1" s="439" t="s">
        <v>0</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row>
    <row r="2" spans="1:92" x14ac:dyDescent="0.2">
      <c r="A2" t="s">
        <v>1</v>
      </c>
      <c r="C2" s="436"/>
      <c r="D2" s="437"/>
      <c r="E2" s="437"/>
      <c r="G2" t="s">
        <v>2</v>
      </c>
      <c r="J2" s="441">
        <f>CMDS!G5</f>
        <v>0</v>
      </c>
      <c r="K2" s="273"/>
      <c r="L2" s="273"/>
      <c r="M2" t="s">
        <v>3</v>
      </c>
      <c r="P2" s="441">
        <f>CMDS!G4</f>
        <v>0</v>
      </c>
      <c r="Q2" s="273"/>
      <c r="R2" s="273"/>
      <c r="S2" s="273"/>
      <c r="T2" s="273"/>
      <c r="U2" s="273"/>
      <c r="V2" s="273"/>
      <c r="W2" s="273"/>
      <c r="X2" s="273"/>
      <c r="Y2" s="273"/>
      <c r="Z2" s="273"/>
      <c r="AA2" s="273"/>
      <c r="AB2" s="273"/>
    </row>
    <row r="3" spans="1:92" x14ac:dyDescent="0.2">
      <c r="A3" t="s">
        <v>4</v>
      </c>
      <c r="J3" s="357"/>
      <c r="K3" s="357"/>
      <c r="L3" s="357"/>
      <c r="M3" s="357"/>
      <c r="N3" s="357"/>
      <c r="O3" s="357"/>
      <c r="P3" s="357"/>
      <c r="Q3" s="357"/>
      <c r="R3" s="357"/>
      <c r="S3" s="357"/>
      <c r="T3" s="357"/>
      <c r="U3" s="357"/>
      <c r="V3" s="357"/>
      <c r="W3" s="357"/>
      <c r="X3" s="357"/>
      <c r="Y3" s="357"/>
      <c r="Z3" s="357"/>
      <c r="AA3" s="357"/>
      <c r="AB3" s="357"/>
    </row>
    <row r="4" spans="1:92" x14ac:dyDescent="0.2">
      <c r="A4" t="s">
        <v>5</v>
      </c>
      <c r="F4" s="438" t="str">
        <f>CMDS!G6</f>
        <v>Mix ID Required</v>
      </c>
      <c r="G4" s="438"/>
      <c r="H4" s="438"/>
      <c r="I4" s="438"/>
      <c r="J4" s="438"/>
      <c r="K4" s="438"/>
      <c r="L4" s="438"/>
      <c r="M4" s="438"/>
    </row>
    <row r="5" spans="1:92" x14ac:dyDescent="0.2">
      <c r="A5" s="158" t="s">
        <v>6</v>
      </c>
      <c r="W5" s="357"/>
      <c r="X5" s="357"/>
      <c r="Y5" s="357"/>
      <c r="Z5" s="357"/>
      <c r="AA5" s="357"/>
      <c r="AB5" s="357"/>
    </row>
    <row r="6" spans="1:92" x14ac:dyDescent="0.2">
      <c r="A6" s="357"/>
      <c r="B6" s="357"/>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row>
    <row r="7" spans="1:92" x14ac:dyDescent="0.2">
      <c r="A7" t="s">
        <v>7</v>
      </c>
      <c r="P7" s="440"/>
      <c r="Q7" s="440"/>
      <c r="R7" s="440"/>
      <c r="S7" s="440"/>
      <c r="T7" s="440"/>
      <c r="U7" s="440"/>
      <c r="V7" s="440"/>
      <c r="W7" s="440"/>
      <c r="X7" s="440"/>
      <c r="Y7" s="440"/>
      <c r="Z7" s="440"/>
      <c r="AA7" s="440"/>
      <c r="AB7" s="440"/>
    </row>
    <row r="8" spans="1:92" x14ac:dyDescent="0.2">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row>
    <row r="10" spans="1:92" ht="15.75" x14ac:dyDescent="0.25">
      <c r="A10" s="489" t="s">
        <v>8</v>
      </c>
      <c r="B10" s="490"/>
      <c r="C10" s="490"/>
      <c r="D10" s="490"/>
      <c r="E10" s="490"/>
      <c r="F10" s="490"/>
      <c r="G10" s="490"/>
      <c r="H10" s="490"/>
      <c r="I10" s="490"/>
      <c r="J10" s="490"/>
      <c r="K10" s="490"/>
      <c r="L10" s="490"/>
      <c r="M10" s="490"/>
      <c r="N10" s="490"/>
      <c r="O10" s="490"/>
      <c r="P10" s="490"/>
      <c r="Q10" s="490"/>
      <c r="R10" s="490"/>
      <c r="S10" s="490"/>
      <c r="T10" s="490"/>
      <c r="U10" s="490"/>
      <c r="V10" s="491"/>
      <c r="W10" s="491"/>
      <c r="X10" s="491"/>
      <c r="Y10" s="491"/>
      <c r="Z10" s="491"/>
      <c r="AA10" s="491"/>
      <c r="AB10" s="491"/>
    </row>
    <row r="11" spans="1:92" s="7" customFormat="1" ht="15.75" customHeight="1" x14ac:dyDescent="0.2">
      <c r="A11" s="428"/>
      <c r="B11" s="429"/>
      <c r="C11" s="429"/>
      <c r="D11" s="429"/>
      <c r="E11" s="429"/>
      <c r="F11" s="429"/>
      <c r="G11" s="430"/>
      <c r="H11" s="194"/>
      <c r="I11" s="195"/>
      <c r="J11" s="196"/>
      <c r="K11" s="431" t="s">
        <v>9</v>
      </c>
      <c r="L11" s="429"/>
      <c r="M11" s="429"/>
      <c r="N11" s="430"/>
      <c r="O11" s="431"/>
      <c r="P11" s="429"/>
      <c r="Q11" s="430"/>
      <c r="R11" s="431" t="s">
        <v>9</v>
      </c>
      <c r="S11" s="429"/>
      <c r="T11" s="429"/>
      <c r="U11" s="430"/>
      <c r="V11" s="429" t="s">
        <v>10</v>
      </c>
      <c r="W11" s="429"/>
      <c r="X11" s="430"/>
      <c r="Y11" s="431" t="s">
        <v>9</v>
      </c>
      <c r="Z11" s="429"/>
      <c r="AA11" s="429"/>
      <c r="AB11" s="494"/>
      <c r="AC11" s="5"/>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row>
    <row r="12" spans="1:92" s="7" customFormat="1" x14ac:dyDescent="0.2">
      <c r="A12" s="269" t="s">
        <v>11</v>
      </c>
      <c r="B12" s="270"/>
      <c r="C12" s="270"/>
      <c r="D12" s="270"/>
      <c r="E12" s="270"/>
      <c r="F12" s="270"/>
      <c r="G12" s="271"/>
      <c r="H12" s="326" t="s">
        <v>12</v>
      </c>
      <c r="I12" s="270"/>
      <c r="J12" s="271"/>
      <c r="K12" s="274" t="s">
        <v>13</v>
      </c>
      <c r="L12" s="275"/>
      <c r="M12" s="275"/>
      <c r="N12" s="276"/>
      <c r="O12" s="326" t="s">
        <v>10</v>
      </c>
      <c r="P12" s="270"/>
      <c r="Q12" s="271"/>
      <c r="R12" s="274" t="s">
        <v>14</v>
      </c>
      <c r="S12" s="275"/>
      <c r="T12" s="275"/>
      <c r="U12" s="276"/>
      <c r="V12" s="270" t="s">
        <v>15</v>
      </c>
      <c r="W12" s="270"/>
      <c r="X12" s="271"/>
      <c r="Y12" s="274" t="s">
        <v>14</v>
      </c>
      <c r="Z12" s="275"/>
      <c r="AA12" s="275"/>
      <c r="AB12" s="277"/>
      <c r="AC12" s="5"/>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row>
    <row r="13" spans="1:92" x14ac:dyDescent="0.2">
      <c r="A13" s="344"/>
      <c r="B13" s="273"/>
      <c r="C13" s="273"/>
      <c r="D13" s="273"/>
      <c r="E13" s="273"/>
      <c r="F13" s="273"/>
      <c r="G13" s="345"/>
      <c r="H13" s="272" t="s">
        <v>16</v>
      </c>
      <c r="I13" s="273"/>
      <c r="J13" s="345"/>
      <c r="K13" s="272" t="s">
        <v>17</v>
      </c>
      <c r="L13" s="273"/>
      <c r="M13" s="273"/>
      <c r="N13" s="345"/>
      <c r="O13" s="272" t="s">
        <v>16</v>
      </c>
      <c r="P13" s="273"/>
      <c r="Q13" s="345"/>
      <c r="R13" s="272" t="s">
        <v>17</v>
      </c>
      <c r="S13" s="273"/>
      <c r="T13" s="273"/>
      <c r="U13" s="345"/>
      <c r="V13" s="273" t="s">
        <v>16</v>
      </c>
      <c r="W13" s="273"/>
      <c r="X13" s="345"/>
      <c r="Y13" s="272" t="s">
        <v>15</v>
      </c>
      <c r="Z13" s="273"/>
      <c r="AA13" s="273"/>
      <c r="AB13" s="300"/>
    </row>
    <row r="14" spans="1:92" ht="12.6" customHeight="1" x14ac:dyDescent="0.2">
      <c r="A14" s="393" t="s">
        <v>18</v>
      </c>
      <c r="B14" s="253"/>
      <c r="C14" s="253"/>
      <c r="D14" s="253"/>
      <c r="E14" s="253"/>
      <c r="F14" s="253"/>
      <c r="G14" s="242"/>
      <c r="H14" s="317">
        <f>CMDS!H35</f>
        <v>0</v>
      </c>
      <c r="I14" s="318"/>
      <c r="J14" s="319"/>
      <c r="K14" s="352"/>
      <c r="L14" s="253"/>
      <c r="M14" s="253"/>
      <c r="N14" s="242"/>
      <c r="O14" s="317">
        <f>H14</f>
        <v>0</v>
      </c>
      <c r="P14" s="253"/>
      <c r="Q14" s="242"/>
      <c r="R14" s="352" t="s">
        <v>19</v>
      </c>
      <c r="S14" s="253"/>
      <c r="T14" s="253"/>
      <c r="U14" s="242"/>
      <c r="V14" s="317">
        <f>O14</f>
        <v>0</v>
      </c>
      <c r="W14" s="253"/>
      <c r="X14" s="242"/>
      <c r="Y14" s="352" t="s">
        <v>19</v>
      </c>
      <c r="Z14" s="253"/>
      <c r="AA14" s="253"/>
      <c r="AB14" s="353"/>
    </row>
    <row r="15" spans="1:92" ht="12.6" customHeight="1" x14ac:dyDescent="0.2">
      <c r="A15" s="393" t="s">
        <v>20</v>
      </c>
      <c r="B15" s="253"/>
      <c r="C15" s="253"/>
      <c r="D15" s="253"/>
      <c r="E15" s="253"/>
      <c r="F15" s="253"/>
      <c r="G15" s="242"/>
      <c r="H15" s="386">
        <f>CMDS!K35</f>
        <v>0</v>
      </c>
      <c r="I15" s="253"/>
      <c r="J15" s="242"/>
      <c r="K15" s="352"/>
      <c r="L15" s="253"/>
      <c r="M15" s="253"/>
      <c r="N15" s="242"/>
      <c r="O15" s="386">
        <f>H15</f>
        <v>0</v>
      </c>
      <c r="P15" s="253"/>
      <c r="Q15" s="242"/>
      <c r="R15" s="352" t="s">
        <v>19</v>
      </c>
      <c r="S15" s="253"/>
      <c r="T15" s="253"/>
      <c r="U15" s="242"/>
      <c r="V15" s="386">
        <f>O15</f>
        <v>0</v>
      </c>
      <c r="W15" s="253"/>
      <c r="X15" s="242"/>
      <c r="Y15" s="352" t="s">
        <v>19</v>
      </c>
      <c r="Z15" s="253"/>
      <c r="AA15" s="253"/>
      <c r="AB15" s="353"/>
    </row>
    <row r="16" spans="1:92" ht="12.6" customHeight="1" x14ac:dyDescent="0.2">
      <c r="A16" s="393" t="s">
        <v>21</v>
      </c>
      <c r="B16" s="253"/>
      <c r="C16" s="253"/>
      <c r="D16" s="253"/>
      <c r="E16" s="253"/>
      <c r="F16" s="253"/>
      <c r="G16" s="242"/>
      <c r="H16" s="386">
        <f>IFERROR(M33,"")</f>
        <v>0</v>
      </c>
      <c r="I16" s="387"/>
      <c r="J16" s="388"/>
      <c r="K16" s="346"/>
      <c r="L16" s="347"/>
      <c r="M16" s="347"/>
      <c r="N16" s="348"/>
      <c r="O16" s="386">
        <f>IFERROR(S33,"")</f>
        <v>0</v>
      </c>
      <c r="P16" s="387"/>
      <c r="Q16" s="388"/>
      <c r="R16" s="346"/>
      <c r="S16" s="347"/>
      <c r="T16" s="347"/>
      <c r="U16" s="348"/>
      <c r="V16" s="387">
        <f>IFERROR(Y33,"")</f>
        <v>0</v>
      </c>
      <c r="W16" s="387"/>
      <c r="X16" s="388"/>
      <c r="Y16" s="346"/>
      <c r="Z16" s="347"/>
      <c r="AA16" s="347"/>
      <c r="AB16" s="425"/>
    </row>
    <row r="17" spans="1:30" ht="12.6" customHeight="1" x14ac:dyDescent="0.2">
      <c r="A17" s="393" t="s">
        <v>22</v>
      </c>
      <c r="B17" s="253"/>
      <c r="C17" s="253"/>
      <c r="D17" s="253"/>
      <c r="E17" s="253"/>
      <c r="F17" s="253"/>
      <c r="G17" s="242"/>
      <c r="H17" s="317">
        <f>CMDS!H36</f>
        <v>0</v>
      </c>
      <c r="I17" s="318"/>
      <c r="J17" s="319"/>
      <c r="K17" s="352"/>
      <c r="L17" s="253"/>
      <c r="M17" s="253"/>
      <c r="N17" s="242"/>
      <c r="O17" s="317">
        <f>H17</f>
        <v>0</v>
      </c>
      <c r="P17" s="253"/>
      <c r="Q17" s="242"/>
      <c r="R17" s="352" t="s">
        <v>19</v>
      </c>
      <c r="S17" s="253"/>
      <c r="T17" s="253"/>
      <c r="U17" s="242"/>
      <c r="V17" s="317">
        <f>O17</f>
        <v>0</v>
      </c>
      <c r="W17" s="253"/>
      <c r="X17" s="242"/>
      <c r="Y17" s="352" t="s">
        <v>19</v>
      </c>
      <c r="Z17" s="253"/>
      <c r="AA17" s="253"/>
      <c r="AB17" s="353"/>
    </row>
    <row r="18" spans="1:30" ht="12.6" customHeight="1" x14ac:dyDescent="0.2">
      <c r="A18" s="393" t="s">
        <v>23</v>
      </c>
      <c r="B18" s="253"/>
      <c r="C18" s="253"/>
      <c r="D18" s="253"/>
      <c r="E18" s="253"/>
      <c r="F18" s="253"/>
      <c r="G18" s="242"/>
      <c r="H18" s="386">
        <f>CMDS!K36</f>
        <v>0</v>
      </c>
      <c r="I18" s="387"/>
      <c r="J18" s="388"/>
      <c r="K18" s="352"/>
      <c r="L18" s="253"/>
      <c r="M18" s="253"/>
      <c r="N18" s="242"/>
      <c r="O18" s="386">
        <f>H18</f>
        <v>0</v>
      </c>
      <c r="P18" s="253"/>
      <c r="Q18" s="242"/>
      <c r="R18" s="352" t="s">
        <v>19</v>
      </c>
      <c r="S18" s="253"/>
      <c r="T18" s="253"/>
      <c r="U18" s="242"/>
      <c r="V18" s="386">
        <f>O18</f>
        <v>0</v>
      </c>
      <c r="W18" s="253"/>
      <c r="X18" s="242"/>
      <c r="Y18" s="352" t="s">
        <v>19</v>
      </c>
      <c r="Z18" s="253"/>
      <c r="AA18" s="253"/>
      <c r="AB18" s="353"/>
    </row>
    <row r="19" spans="1:30" ht="12.6" customHeight="1" x14ac:dyDescent="0.2">
      <c r="A19" s="393" t="s">
        <v>24</v>
      </c>
      <c r="B19" s="253"/>
      <c r="C19" s="253"/>
      <c r="D19" s="253"/>
      <c r="E19" s="253"/>
      <c r="F19" s="253"/>
      <c r="G19" s="242"/>
      <c r="H19" s="386">
        <f>IFERROR(O33,"")</f>
        <v>0</v>
      </c>
      <c r="I19" s="387"/>
      <c r="J19" s="388"/>
      <c r="K19" s="346"/>
      <c r="L19" s="347"/>
      <c r="M19" s="347"/>
      <c r="N19" s="348"/>
      <c r="O19" s="386">
        <f>IFERROR(U33,"")</f>
        <v>0</v>
      </c>
      <c r="P19" s="387"/>
      <c r="Q19" s="388"/>
      <c r="R19" s="346"/>
      <c r="S19" s="347"/>
      <c r="T19" s="347"/>
      <c r="U19" s="348"/>
      <c r="V19" s="387">
        <f>IFERROR(AA33,"")</f>
        <v>0</v>
      </c>
      <c r="W19" s="387"/>
      <c r="X19" s="388"/>
      <c r="Y19" s="346"/>
      <c r="Z19" s="347"/>
      <c r="AA19" s="347"/>
      <c r="AB19" s="425"/>
    </row>
    <row r="20" spans="1:30" ht="12.6" customHeight="1" x14ac:dyDescent="0.2">
      <c r="A20" s="316" t="s">
        <v>25</v>
      </c>
      <c r="B20" s="253"/>
      <c r="C20" s="253"/>
      <c r="D20" s="253"/>
      <c r="E20" s="253"/>
      <c r="F20" s="253"/>
      <c r="G20" s="242"/>
      <c r="H20" s="317">
        <f>CMDS!H38</f>
        <v>0</v>
      </c>
      <c r="I20" s="318"/>
      <c r="J20" s="319"/>
      <c r="K20" s="352"/>
      <c r="L20" s="253"/>
      <c r="M20" s="253"/>
      <c r="N20" s="242"/>
      <c r="O20" s="317">
        <f>H20</f>
        <v>0</v>
      </c>
      <c r="P20" s="253"/>
      <c r="Q20" s="242"/>
      <c r="R20" s="352" t="s">
        <v>19</v>
      </c>
      <c r="S20" s="253"/>
      <c r="T20" s="253"/>
      <c r="U20" s="242"/>
      <c r="V20" s="317">
        <f>O20</f>
        <v>0</v>
      </c>
      <c r="W20" s="253"/>
      <c r="X20" s="242"/>
      <c r="Y20" s="352" t="s">
        <v>19</v>
      </c>
      <c r="Z20" s="253"/>
      <c r="AA20" s="253"/>
      <c r="AB20" s="353"/>
    </row>
    <row r="21" spans="1:30" ht="12.6" customHeight="1" x14ac:dyDescent="0.2">
      <c r="A21" s="316" t="s">
        <v>26</v>
      </c>
      <c r="B21" s="253"/>
      <c r="C21" s="253"/>
      <c r="D21" s="253"/>
      <c r="E21" s="253"/>
      <c r="F21" s="253"/>
      <c r="G21" s="242"/>
      <c r="H21" s="386">
        <f>CMDS!K38</f>
        <v>0</v>
      </c>
      <c r="I21" s="387"/>
      <c r="J21" s="388"/>
      <c r="K21" s="352"/>
      <c r="L21" s="253"/>
      <c r="M21" s="253"/>
      <c r="N21" s="242"/>
      <c r="O21" s="386">
        <f>H21</f>
        <v>0</v>
      </c>
      <c r="P21" s="253"/>
      <c r="Q21" s="242"/>
      <c r="R21" s="352" t="s">
        <v>19</v>
      </c>
      <c r="S21" s="253"/>
      <c r="T21" s="253"/>
      <c r="U21" s="242"/>
      <c r="V21" s="386">
        <f>O21</f>
        <v>0</v>
      </c>
      <c r="W21" s="253"/>
      <c r="X21" s="242"/>
      <c r="Y21" s="352" t="s">
        <v>19</v>
      </c>
      <c r="Z21" s="253"/>
      <c r="AA21" s="253"/>
      <c r="AB21" s="353"/>
    </row>
    <row r="22" spans="1:30" ht="12.6" customHeight="1" x14ac:dyDescent="0.2">
      <c r="A22" s="316" t="s">
        <v>27</v>
      </c>
      <c r="B22" s="253"/>
      <c r="C22" s="253"/>
      <c r="D22" s="253"/>
      <c r="E22" s="253"/>
      <c r="F22" s="253"/>
      <c r="G22" s="242"/>
      <c r="H22" s="386">
        <f>IFERROR(Q33,"")</f>
        <v>0</v>
      </c>
      <c r="I22" s="387"/>
      <c r="J22" s="388"/>
      <c r="K22" s="346"/>
      <c r="L22" s="347"/>
      <c r="M22" s="347"/>
      <c r="N22" s="348"/>
      <c r="O22" s="386">
        <f>IFERROR(W33,"")</f>
        <v>0</v>
      </c>
      <c r="P22" s="387"/>
      <c r="Q22" s="388"/>
      <c r="R22" s="346"/>
      <c r="S22" s="347"/>
      <c r="T22" s="347"/>
      <c r="U22" s="348"/>
      <c r="V22" s="387">
        <f>IFERROR(AC33,"")</f>
        <v>0</v>
      </c>
      <c r="W22" s="387"/>
      <c r="X22" s="388"/>
      <c r="Y22" s="346"/>
      <c r="Z22" s="347"/>
      <c r="AA22" s="347"/>
      <c r="AB22" s="425"/>
    </row>
    <row r="23" spans="1:30" ht="12.6" customHeight="1" thickBot="1" x14ac:dyDescent="0.25">
      <c r="A23" s="327" t="s">
        <v>28</v>
      </c>
      <c r="B23" s="328"/>
      <c r="C23" s="328"/>
      <c r="D23" s="328"/>
      <c r="E23" s="328"/>
      <c r="F23" s="328"/>
      <c r="G23" s="329"/>
      <c r="H23" s="379"/>
      <c r="I23" s="364"/>
      <c r="J23" s="365"/>
      <c r="K23" s="307"/>
      <c r="L23" s="308"/>
      <c r="M23" s="308"/>
      <c r="N23" s="309"/>
      <c r="O23" s="379"/>
      <c r="P23" s="364"/>
      <c r="Q23" s="365"/>
      <c r="R23" s="307"/>
      <c r="S23" s="308"/>
      <c r="T23" s="308"/>
      <c r="U23" s="309"/>
      <c r="V23" s="364"/>
      <c r="W23" s="364"/>
      <c r="X23" s="365"/>
      <c r="Y23" s="307"/>
      <c r="Z23" s="308"/>
      <c r="AA23" s="308"/>
      <c r="AB23" s="311"/>
    </row>
    <row r="24" spans="1:30" ht="12.6" customHeight="1" thickBot="1" x14ac:dyDescent="0.25">
      <c r="A24" s="1"/>
      <c r="B24" s="1"/>
      <c r="C24" s="1"/>
      <c r="D24" s="1"/>
      <c r="E24" s="1"/>
      <c r="F24" s="1"/>
      <c r="G24" s="1"/>
      <c r="H24" s="160"/>
      <c r="I24" s="160"/>
      <c r="J24" s="160"/>
      <c r="K24" s="22"/>
      <c r="L24" s="22"/>
      <c r="M24" s="22"/>
      <c r="N24" s="22"/>
      <c r="O24" s="160"/>
      <c r="P24" s="160"/>
      <c r="Q24" s="160"/>
      <c r="R24" s="22"/>
      <c r="S24" s="22"/>
      <c r="T24" s="22"/>
      <c r="U24" s="22"/>
      <c r="V24" s="160"/>
      <c r="W24" s="160"/>
      <c r="X24" s="160"/>
      <c r="Y24" s="22"/>
      <c r="Z24" s="22"/>
      <c r="AA24" s="22"/>
      <c r="AB24" s="22"/>
    </row>
    <row r="25" spans="1:30" ht="12.6" customHeight="1" x14ac:dyDescent="0.2">
      <c r="A25" s="419" t="s">
        <v>29</v>
      </c>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1"/>
    </row>
    <row r="26" spans="1:30" ht="12.6" customHeight="1" x14ac:dyDescent="0.2">
      <c r="A26" s="414"/>
      <c r="B26" s="246" t="s">
        <v>30</v>
      </c>
      <c r="C26" s="247"/>
      <c r="D26" s="247"/>
      <c r="E26" s="247"/>
      <c r="F26" s="247"/>
      <c r="G26" s="247"/>
      <c r="H26" s="247"/>
      <c r="I26" s="247"/>
      <c r="J26" s="246" t="s">
        <v>31</v>
      </c>
      <c r="K26" s="246"/>
      <c r="L26" s="246"/>
      <c r="M26" s="249" t="s">
        <v>12</v>
      </c>
      <c r="N26" s="427"/>
      <c r="O26" s="427"/>
      <c r="P26" s="427"/>
      <c r="Q26" s="250"/>
      <c r="R26" s="250"/>
      <c r="S26" s="249" t="s">
        <v>32</v>
      </c>
      <c r="T26" s="427"/>
      <c r="U26" s="427"/>
      <c r="V26" s="427"/>
      <c r="W26" s="250"/>
      <c r="X26" s="250"/>
      <c r="Y26" s="249" t="s">
        <v>33</v>
      </c>
      <c r="Z26" s="250"/>
      <c r="AA26" s="250"/>
      <c r="AB26" s="250"/>
      <c r="AC26" s="251"/>
    </row>
    <row r="27" spans="1:30" ht="12.6" customHeight="1" x14ac:dyDescent="0.2">
      <c r="A27" s="415"/>
      <c r="B27" s="248"/>
      <c r="C27" s="248"/>
      <c r="D27" s="248"/>
      <c r="E27" s="248"/>
      <c r="F27" s="248"/>
      <c r="G27" s="248"/>
      <c r="H27" s="248"/>
      <c r="I27" s="248"/>
      <c r="J27" s="435"/>
      <c r="K27" s="435"/>
      <c r="L27" s="435"/>
      <c r="M27" s="241" t="s">
        <v>34</v>
      </c>
      <c r="N27" s="242"/>
      <c r="O27" s="241" t="s">
        <v>35</v>
      </c>
      <c r="P27" s="242"/>
      <c r="Q27" s="241" t="s">
        <v>36</v>
      </c>
      <c r="R27" s="243"/>
      <c r="S27" s="241" t="s">
        <v>34</v>
      </c>
      <c r="T27" s="242"/>
      <c r="U27" s="241" t="s">
        <v>35</v>
      </c>
      <c r="V27" s="242"/>
      <c r="W27" s="241" t="s">
        <v>36</v>
      </c>
      <c r="X27" s="243"/>
      <c r="Y27" s="241" t="s">
        <v>34</v>
      </c>
      <c r="Z27" s="242"/>
      <c r="AA27" s="241" t="s">
        <v>35</v>
      </c>
      <c r="AB27" s="242"/>
      <c r="AC27" s="169" t="s">
        <v>36</v>
      </c>
    </row>
    <row r="28" spans="1:30" ht="12.6" customHeight="1" x14ac:dyDescent="0.2">
      <c r="A28" s="170" t="s">
        <v>37</v>
      </c>
      <c r="B28" s="409" t="s">
        <v>38</v>
      </c>
      <c r="C28" s="410"/>
      <c r="D28" s="410"/>
      <c r="E28" s="410"/>
      <c r="F28" s="410"/>
      <c r="G28" s="410"/>
      <c r="H28" s="410"/>
      <c r="I28" s="410"/>
      <c r="J28" s="432" t="s">
        <v>39</v>
      </c>
      <c r="K28" s="433"/>
      <c r="L28" s="434"/>
      <c r="M28" s="244"/>
      <c r="N28" s="245"/>
      <c r="O28" s="244"/>
      <c r="P28" s="245"/>
      <c r="Q28" s="244"/>
      <c r="R28" s="245"/>
      <c r="S28" s="244"/>
      <c r="T28" s="245"/>
      <c r="U28" s="244"/>
      <c r="V28" s="245"/>
      <c r="W28" s="244"/>
      <c r="X28" s="245"/>
      <c r="Y28" s="244"/>
      <c r="Z28" s="245"/>
      <c r="AA28" s="244"/>
      <c r="AB28" s="245"/>
      <c r="AC28" s="171"/>
      <c r="AD28" s="178"/>
    </row>
    <row r="29" spans="1:30" ht="12.6" customHeight="1" x14ac:dyDescent="0.2">
      <c r="A29" s="170" t="s">
        <v>40</v>
      </c>
      <c r="B29" s="409" t="s">
        <v>41</v>
      </c>
      <c r="C29" s="410"/>
      <c r="D29" s="410"/>
      <c r="E29" s="410"/>
      <c r="F29" s="410"/>
      <c r="G29" s="410"/>
      <c r="H29" s="410"/>
      <c r="I29" s="410"/>
      <c r="J29" s="432" t="s">
        <v>39</v>
      </c>
      <c r="K29" s="433"/>
      <c r="L29" s="434"/>
      <c r="M29" s="244"/>
      <c r="N29" s="245"/>
      <c r="O29" s="244"/>
      <c r="P29" s="245"/>
      <c r="Q29" s="244"/>
      <c r="R29" s="245"/>
      <c r="S29" s="244"/>
      <c r="T29" s="245"/>
      <c r="U29" s="244"/>
      <c r="V29" s="245"/>
      <c r="W29" s="244"/>
      <c r="X29" s="245"/>
      <c r="Y29" s="244"/>
      <c r="Z29" s="245"/>
      <c r="AA29" s="244"/>
      <c r="AB29" s="245"/>
      <c r="AC29" s="171"/>
      <c r="AD29" s="178"/>
    </row>
    <row r="30" spans="1:30" ht="12.6" customHeight="1" x14ac:dyDescent="0.2">
      <c r="A30" s="170" t="s">
        <v>42</v>
      </c>
      <c r="B30" s="409" t="s">
        <v>43</v>
      </c>
      <c r="C30" s="410"/>
      <c r="D30" s="410"/>
      <c r="E30" s="410"/>
      <c r="F30" s="410"/>
      <c r="G30" s="410"/>
      <c r="H30" s="410"/>
      <c r="I30" s="161"/>
      <c r="J30" s="432" t="s">
        <v>44</v>
      </c>
      <c r="K30" s="433"/>
      <c r="L30" s="434"/>
      <c r="M30" s="252" t="str">
        <f>IF(M28-M29=0,"",M28-M29)</f>
        <v/>
      </c>
      <c r="N30" s="253"/>
      <c r="O30" s="252" t="str">
        <f>IF(O28-O29=0,"",O28-O29)</f>
        <v/>
      </c>
      <c r="P30" s="253"/>
      <c r="Q30" s="252" t="str">
        <f>IF(Q28-Q29=0,"",Q28-Q29)</f>
        <v/>
      </c>
      <c r="R30" s="253"/>
      <c r="S30" s="252" t="str">
        <f>IF(S28-S29=0,"",S28-S29)</f>
        <v/>
      </c>
      <c r="T30" s="253"/>
      <c r="U30" s="252" t="str">
        <f>IF(U28-U29=0,"",U28-U29)</f>
        <v/>
      </c>
      <c r="V30" s="253"/>
      <c r="W30" s="252" t="str">
        <f>IF(W28-W29=0,"",W28-W29)</f>
        <v/>
      </c>
      <c r="X30" s="253"/>
      <c r="Y30" s="252" t="str">
        <f>IF(Y28-Y29=0,"",Y28-Y29)</f>
        <v/>
      </c>
      <c r="Z30" s="253"/>
      <c r="AA30" s="252" t="str">
        <f>IF(AA28-AA29=0,"",AA28-AA29)</f>
        <v/>
      </c>
      <c r="AB30" s="253"/>
      <c r="AC30" s="172" t="str">
        <f>IF(AC28-AC29=0,"",AC28-AC29)</f>
        <v/>
      </c>
    </row>
    <row r="31" spans="1:30" ht="12.6" customHeight="1" x14ac:dyDescent="0.2">
      <c r="A31" s="170" t="s">
        <v>45</v>
      </c>
      <c r="B31" s="409" t="s">
        <v>46</v>
      </c>
      <c r="C31" s="410"/>
      <c r="D31" s="410"/>
      <c r="E31" s="410"/>
      <c r="F31" s="410"/>
      <c r="G31" s="162"/>
      <c r="H31" s="162"/>
      <c r="I31" s="162"/>
      <c r="J31" s="432" t="s">
        <v>39</v>
      </c>
      <c r="K31" s="433"/>
      <c r="L31" s="434"/>
      <c r="M31" s="244"/>
      <c r="N31" s="245"/>
      <c r="O31" s="244"/>
      <c r="P31" s="245"/>
      <c r="Q31" s="244"/>
      <c r="R31" s="245"/>
      <c r="S31" s="244"/>
      <c r="T31" s="245"/>
      <c r="U31" s="244"/>
      <c r="V31" s="245"/>
      <c r="W31" s="244"/>
      <c r="X31" s="245"/>
      <c r="Y31" s="244"/>
      <c r="Z31" s="245"/>
      <c r="AA31" s="244"/>
      <c r="AB31" s="245"/>
      <c r="AC31" s="171"/>
      <c r="AD31" s="178"/>
    </row>
    <row r="32" spans="1:30" ht="12.6" customHeight="1" x14ac:dyDescent="0.2">
      <c r="A32" s="170" t="s">
        <v>47</v>
      </c>
      <c r="B32" s="409" t="s">
        <v>48</v>
      </c>
      <c r="C32" s="410"/>
      <c r="D32" s="410"/>
      <c r="E32" s="410"/>
      <c r="F32" s="410"/>
      <c r="G32" s="410"/>
      <c r="H32" s="410"/>
      <c r="I32" s="162"/>
      <c r="J32" s="432" t="s">
        <v>49</v>
      </c>
      <c r="K32" s="433"/>
      <c r="L32" s="434"/>
      <c r="M32" s="252" t="str">
        <f>IF(M29-M31=0,"",M29-M31)</f>
        <v/>
      </c>
      <c r="N32" s="253"/>
      <c r="O32" s="252" t="str">
        <f>IF(O29-O31=0,"",O29-O31)</f>
        <v/>
      </c>
      <c r="P32" s="253"/>
      <c r="Q32" s="252" t="str">
        <f>IF(Q29-Q31=0,"",Q29-Q31)</f>
        <v/>
      </c>
      <c r="R32" s="253"/>
      <c r="S32" s="252" t="str">
        <f>IF(S29-S31=0,"",S29-S31)</f>
        <v/>
      </c>
      <c r="T32" s="253"/>
      <c r="U32" s="252" t="str">
        <f>IF(U29-U31=0,"",U29-U31)</f>
        <v/>
      </c>
      <c r="V32" s="253"/>
      <c r="W32" s="252" t="str">
        <f>IF(W29-W31=0,"",W29-W31)</f>
        <v/>
      </c>
      <c r="X32" s="253"/>
      <c r="Y32" s="252" t="str">
        <f>IF(Y29-Y31=0,"",Y29-Y31)</f>
        <v/>
      </c>
      <c r="Z32" s="253"/>
      <c r="AA32" s="252" t="str">
        <f>IF(AA29-AA31=0,"",AA29-AA31)</f>
        <v/>
      </c>
      <c r="AB32" s="253"/>
      <c r="AC32" s="172" t="str">
        <f>IF(AC29-AC31=0,"",AC29-AC31)</f>
        <v/>
      </c>
    </row>
    <row r="33" spans="1:30" ht="12.6" customHeight="1" thickBot="1" x14ac:dyDescent="0.25">
      <c r="A33" s="173" t="s">
        <v>50</v>
      </c>
      <c r="B33" s="405" t="s">
        <v>51</v>
      </c>
      <c r="C33" s="406"/>
      <c r="D33" s="406"/>
      <c r="E33" s="406"/>
      <c r="F33" s="406"/>
      <c r="G33" s="406"/>
      <c r="H33" s="174"/>
      <c r="I33" s="174"/>
      <c r="J33" s="407" t="s">
        <v>52</v>
      </c>
      <c r="K33" s="408"/>
      <c r="L33" s="408"/>
      <c r="M33" s="258">
        <f>IFERROR((M30/M32)*100,0)</f>
        <v>0</v>
      </c>
      <c r="N33" s="259"/>
      <c r="O33" s="258">
        <f>IFERROR((O30/O32)*100,0)</f>
        <v>0</v>
      </c>
      <c r="P33" s="259"/>
      <c r="Q33" s="258">
        <f>IFERROR((Q30/Q32)*100,0)</f>
        <v>0</v>
      </c>
      <c r="R33" s="259"/>
      <c r="S33" s="258">
        <f>IFERROR((S30/S32)*100,0)</f>
        <v>0</v>
      </c>
      <c r="T33" s="259"/>
      <c r="U33" s="258">
        <f>IFERROR((U30/U32)*100,0)</f>
        <v>0</v>
      </c>
      <c r="V33" s="259"/>
      <c r="W33" s="258">
        <f>IFERROR((W30/W32)*100,0)</f>
        <v>0</v>
      </c>
      <c r="X33" s="328"/>
      <c r="Y33" s="258">
        <f>IFERROR((Y30/Y32)*100,0)</f>
        <v>0</v>
      </c>
      <c r="Z33" s="259"/>
      <c r="AA33" s="258">
        <f>IFERROR((AA30/AA32)*100,0)</f>
        <v>0</v>
      </c>
      <c r="AB33" s="259"/>
      <c r="AC33" s="175">
        <f>IFERROR((AC30/AC32)*100,0)</f>
        <v>0</v>
      </c>
      <c r="AD33" s="179"/>
    </row>
    <row r="34" spans="1:30" ht="12.6" customHeight="1" x14ac:dyDescent="0.2">
      <c r="A34" s="163"/>
      <c r="B34" s="164"/>
      <c r="C34" s="165"/>
      <c r="D34" s="165"/>
      <c r="E34" s="165"/>
      <c r="F34" s="165"/>
      <c r="G34" s="165"/>
      <c r="H34" s="164"/>
      <c r="I34" s="164"/>
      <c r="J34" s="166"/>
      <c r="K34" s="68"/>
      <c r="L34" s="68"/>
      <c r="M34" s="167"/>
      <c r="N34" s="1"/>
      <c r="O34" s="1"/>
      <c r="P34" s="167"/>
      <c r="Q34" s="167"/>
      <c r="R34" s="167"/>
      <c r="S34" s="167"/>
      <c r="T34" s="167"/>
      <c r="U34" s="167"/>
      <c r="V34" s="167"/>
      <c r="W34" s="1"/>
      <c r="X34" s="1"/>
      <c r="Y34" s="167"/>
      <c r="Z34" s="1"/>
      <c r="AA34" s="1"/>
      <c r="AB34" s="167"/>
      <c r="AC34" s="176"/>
    </row>
    <row r="35" spans="1:30" ht="12.6" customHeight="1" x14ac:dyDescent="0.2">
      <c r="A35" s="256" t="s">
        <v>53</v>
      </c>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row>
    <row r="36" spans="1:30" ht="12.6" customHeight="1" x14ac:dyDescent="0.2">
      <c r="A36" s="163"/>
      <c r="B36" s="164"/>
      <c r="C36" s="165"/>
      <c r="D36" s="165"/>
      <c r="E36" s="165"/>
      <c r="F36" s="165"/>
      <c r="G36" s="241" t="s">
        <v>12</v>
      </c>
      <c r="H36" s="255"/>
      <c r="I36" s="255"/>
      <c r="J36" s="255"/>
      <c r="K36" s="255"/>
      <c r="L36" s="243"/>
      <c r="M36" s="241" t="s">
        <v>32</v>
      </c>
      <c r="N36" s="255"/>
      <c r="O36" s="255"/>
      <c r="P36" s="255"/>
      <c r="Q36" s="255"/>
      <c r="R36" s="243"/>
      <c r="S36" s="241" t="s">
        <v>33</v>
      </c>
      <c r="T36" s="255"/>
      <c r="U36" s="255"/>
      <c r="V36" s="255"/>
      <c r="W36" s="243"/>
      <c r="X36" s="167"/>
      <c r="Y36" s="1"/>
      <c r="Z36" s="1"/>
      <c r="AA36" s="167"/>
      <c r="AB36" s="1"/>
    </row>
    <row r="37" spans="1:30" ht="12.6" customHeight="1" x14ac:dyDescent="0.2">
      <c r="A37" s="163"/>
      <c r="B37" s="260" t="s">
        <v>54</v>
      </c>
      <c r="C37" s="261"/>
      <c r="D37" s="261"/>
      <c r="E37" s="261"/>
      <c r="F37" s="261"/>
      <c r="G37" s="411"/>
      <c r="H37" s="412"/>
      <c r="I37" s="412"/>
      <c r="J37" s="412"/>
      <c r="K37" s="412"/>
      <c r="L37" s="413"/>
      <c r="M37" s="411"/>
      <c r="N37" s="412"/>
      <c r="O37" s="412"/>
      <c r="P37" s="412"/>
      <c r="Q37" s="412"/>
      <c r="R37" s="413"/>
      <c r="S37" s="411"/>
      <c r="T37" s="412"/>
      <c r="U37" s="412"/>
      <c r="V37" s="412"/>
      <c r="W37" s="413"/>
      <c r="X37" s="167"/>
      <c r="Y37" s="1"/>
      <c r="Z37" s="1"/>
      <c r="AA37" s="167"/>
      <c r="AB37" s="1"/>
    </row>
    <row r="38" spans="1:30" ht="12.6" customHeight="1" x14ac:dyDescent="0.2">
      <c r="A38" s="163"/>
      <c r="B38" s="260" t="s">
        <v>55</v>
      </c>
      <c r="C38" s="261"/>
      <c r="D38" s="261"/>
      <c r="E38" s="261"/>
      <c r="F38" s="262"/>
      <c r="G38" s="241" t="s">
        <v>34</v>
      </c>
      <c r="H38" s="242"/>
      <c r="I38" s="241" t="s">
        <v>35</v>
      </c>
      <c r="J38" s="242"/>
      <c r="K38" s="241" t="s">
        <v>36</v>
      </c>
      <c r="L38" s="243"/>
      <c r="M38" s="241" t="s">
        <v>34</v>
      </c>
      <c r="N38" s="242"/>
      <c r="O38" s="241" t="s">
        <v>35</v>
      </c>
      <c r="P38" s="242"/>
      <c r="Q38" s="241" t="s">
        <v>36</v>
      </c>
      <c r="R38" s="243"/>
      <c r="S38" s="241" t="s">
        <v>34</v>
      </c>
      <c r="T38" s="242"/>
      <c r="U38" s="241" t="s">
        <v>35</v>
      </c>
      <c r="V38" s="242"/>
      <c r="W38" s="241" t="s">
        <v>36</v>
      </c>
      <c r="X38" s="243"/>
      <c r="Y38" s="1"/>
      <c r="Z38" s="1"/>
      <c r="AA38" s="167"/>
      <c r="AB38" s="1"/>
    </row>
    <row r="39" spans="1:30" ht="12.6" customHeight="1" x14ac:dyDescent="0.2">
      <c r="A39" s="163"/>
      <c r="B39" s="260" t="s">
        <v>56</v>
      </c>
      <c r="C39" s="261"/>
      <c r="D39" s="261"/>
      <c r="E39" s="261"/>
      <c r="F39" s="262"/>
      <c r="G39" s="254">
        <f>G37*($I$52/27)</f>
        <v>0</v>
      </c>
      <c r="H39" s="250"/>
      <c r="I39" s="254">
        <f>G37*($I$53/27)</f>
        <v>0</v>
      </c>
      <c r="J39" s="250"/>
      <c r="K39" s="254">
        <f>G37*($I$54/27)</f>
        <v>0</v>
      </c>
      <c r="L39" s="250"/>
      <c r="M39" s="254">
        <f>M37*($I$52/27)</f>
        <v>0</v>
      </c>
      <c r="N39" s="250"/>
      <c r="O39" s="254">
        <f>M37*($I$53/27)</f>
        <v>0</v>
      </c>
      <c r="P39" s="250"/>
      <c r="Q39" s="254">
        <f>M37*($I$54/27)</f>
        <v>0</v>
      </c>
      <c r="R39" s="250"/>
      <c r="S39" s="254">
        <f>S37*($I$52/27)</f>
        <v>0</v>
      </c>
      <c r="T39" s="250"/>
      <c r="U39" s="254">
        <f>S37*($I$53/27)</f>
        <v>0</v>
      </c>
      <c r="V39" s="250"/>
      <c r="W39" s="254">
        <f>S37*($I$54/27)</f>
        <v>0</v>
      </c>
      <c r="X39" s="250"/>
      <c r="Y39" s="1"/>
      <c r="Z39" s="1"/>
      <c r="AA39" s="167"/>
      <c r="AB39" s="1"/>
    </row>
    <row r="40" spans="1:30" ht="12.6" customHeight="1" thickBot="1" x14ac:dyDescent="0.25">
      <c r="A40" s="163"/>
      <c r="B40" s="164"/>
      <c r="C40" s="165"/>
      <c r="D40" s="165"/>
      <c r="E40" s="165"/>
      <c r="F40" s="165"/>
      <c r="G40" s="165"/>
      <c r="H40" s="164"/>
      <c r="I40" s="164"/>
      <c r="J40" s="166"/>
      <c r="K40" s="68"/>
      <c r="L40" s="68"/>
      <c r="M40" s="167"/>
      <c r="N40" s="1"/>
      <c r="O40" s="1"/>
      <c r="P40" s="167"/>
      <c r="Q40" s="167"/>
      <c r="R40" s="167"/>
      <c r="S40" s="167"/>
      <c r="T40" s="167"/>
      <c r="U40" s="167"/>
      <c r="V40" s="167"/>
      <c r="W40" s="1"/>
      <c r="X40" s="167"/>
      <c r="Y40" s="1"/>
      <c r="Z40" s="1"/>
      <c r="AA40" s="167"/>
      <c r="AB40" s="1"/>
    </row>
    <row r="41" spans="1:30" ht="15.75" x14ac:dyDescent="0.25">
      <c r="A41" s="422" t="s">
        <v>57</v>
      </c>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row>
    <row r="42" spans="1:30" x14ac:dyDescent="0.2">
      <c r="A42" s="269"/>
      <c r="B42" s="270"/>
      <c r="C42" s="270"/>
      <c r="D42" s="8"/>
      <c r="H42" s="9"/>
      <c r="I42" s="8"/>
      <c r="M42" s="9"/>
      <c r="N42" s="8"/>
      <c r="P42" s="9"/>
      <c r="Q42" s="326" t="s">
        <v>58</v>
      </c>
      <c r="R42" s="270"/>
      <c r="S42" s="271"/>
      <c r="T42" s="8"/>
      <c r="V42" s="9"/>
      <c r="W42" s="8"/>
      <c r="Y42" s="9"/>
      <c r="Z42" s="326"/>
      <c r="AA42" s="270"/>
      <c r="AB42" s="270"/>
      <c r="AC42" s="426"/>
    </row>
    <row r="43" spans="1:30" x14ac:dyDescent="0.2">
      <c r="A43" s="269"/>
      <c r="B43" s="270"/>
      <c r="C43" s="270"/>
      <c r="D43" s="326" t="s">
        <v>59</v>
      </c>
      <c r="E43" s="270"/>
      <c r="F43" s="270"/>
      <c r="G43" s="270"/>
      <c r="H43" s="271"/>
      <c r="I43" s="326" t="s">
        <v>60</v>
      </c>
      <c r="J43" s="270"/>
      <c r="K43" s="270"/>
      <c r="L43" s="270"/>
      <c r="M43" s="271"/>
      <c r="N43" s="326" t="s">
        <v>61</v>
      </c>
      <c r="O43" s="270"/>
      <c r="P43" s="271"/>
      <c r="Q43" s="326" t="s">
        <v>61</v>
      </c>
      <c r="R43" s="270"/>
      <c r="S43" s="271"/>
      <c r="T43" s="326" t="s">
        <v>62</v>
      </c>
      <c r="U43" s="270"/>
      <c r="V43" s="271"/>
      <c r="W43" s="326" t="s">
        <v>63</v>
      </c>
      <c r="X43" s="270"/>
      <c r="Y43" s="271"/>
      <c r="Z43" s="326" t="s">
        <v>64</v>
      </c>
      <c r="AA43" s="270"/>
      <c r="AB43" s="270"/>
      <c r="AC43" s="426"/>
    </row>
    <row r="44" spans="1:30" x14ac:dyDescent="0.2">
      <c r="A44" s="269" t="s">
        <v>65</v>
      </c>
      <c r="B44" s="270"/>
      <c r="C44" s="271"/>
      <c r="D44" s="326" t="s">
        <v>66</v>
      </c>
      <c r="E44" s="270"/>
      <c r="F44" s="270"/>
      <c r="G44" s="270"/>
      <c r="H44" s="271"/>
      <c r="I44" s="326" t="s">
        <v>66</v>
      </c>
      <c r="J44" s="270"/>
      <c r="K44" s="270"/>
      <c r="L44" s="270"/>
      <c r="M44" s="271"/>
      <c r="N44" s="326" t="s">
        <v>67</v>
      </c>
      <c r="O44" s="270"/>
      <c r="P44" s="271"/>
      <c r="Q44" s="326" t="s">
        <v>67</v>
      </c>
      <c r="R44" s="270"/>
      <c r="S44" s="271"/>
      <c r="T44" s="326" t="s">
        <v>67</v>
      </c>
      <c r="U44" s="270"/>
      <c r="V44" s="271"/>
      <c r="W44" s="326" t="s">
        <v>68</v>
      </c>
      <c r="X44" s="270"/>
      <c r="Y44" s="271"/>
      <c r="Z44" s="326" t="s">
        <v>68</v>
      </c>
      <c r="AA44" s="270"/>
      <c r="AB44" s="270"/>
      <c r="AC44" s="426"/>
    </row>
    <row r="45" spans="1:30" x14ac:dyDescent="0.2">
      <c r="A45" s="269"/>
      <c r="B45" s="270"/>
      <c r="C45" s="270"/>
      <c r="D45" s="323" t="s">
        <v>69</v>
      </c>
      <c r="E45" s="324"/>
      <c r="F45" s="324"/>
      <c r="G45" s="324"/>
      <c r="H45" s="325"/>
      <c r="I45" s="323" t="s">
        <v>70</v>
      </c>
      <c r="J45" s="324"/>
      <c r="K45" s="324"/>
      <c r="L45" s="324"/>
      <c r="M45" s="325"/>
      <c r="N45" s="326" t="s">
        <v>71</v>
      </c>
      <c r="O45" s="270"/>
      <c r="P45" s="271"/>
      <c r="Q45" s="326" t="s">
        <v>66</v>
      </c>
      <c r="R45" s="270"/>
      <c r="S45" s="271"/>
      <c r="T45" s="326" t="s">
        <v>66</v>
      </c>
      <c r="U45" s="270"/>
      <c r="V45" s="271"/>
      <c r="W45" s="8"/>
      <c r="Y45" s="9"/>
      <c r="Z45" s="8"/>
      <c r="AC45" s="3"/>
    </row>
    <row r="46" spans="1:30" x14ac:dyDescent="0.2">
      <c r="A46" s="269"/>
      <c r="B46" s="270"/>
      <c r="C46" s="270"/>
      <c r="D46" s="272" t="s">
        <v>72</v>
      </c>
      <c r="E46" s="273"/>
      <c r="F46" s="273"/>
      <c r="G46" s="273"/>
      <c r="H46" s="345"/>
      <c r="I46" s="272" t="s">
        <v>72</v>
      </c>
      <c r="J46" s="273"/>
      <c r="K46" s="273"/>
      <c r="L46" s="273"/>
      <c r="M46" s="345"/>
      <c r="N46" s="272" t="s">
        <v>73</v>
      </c>
      <c r="O46" s="273"/>
      <c r="P46" s="345"/>
      <c r="Q46" s="272" t="s">
        <v>72</v>
      </c>
      <c r="R46" s="273"/>
      <c r="S46" s="345"/>
      <c r="T46" s="272" t="s">
        <v>72</v>
      </c>
      <c r="U46" s="273"/>
      <c r="V46" s="345"/>
      <c r="W46" s="272" t="s">
        <v>74</v>
      </c>
      <c r="X46" s="273"/>
      <c r="Y46" s="345"/>
      <c r="Z46" s="272" t="s">
        <v>74</v>
      </c>
      <c r="AA46" s="273"/>
      <c r="AB46" s="273"/>
      <c r="AC46" s="300"/>
    </row>
    <row r="47" spans="1:30" ht="12.6" customHeight="1" x14ac:dyDescent="0.2">
      <c r="A47" s="393" t="s">
        <v>75</v>
      </c>
      <c r="B47" s="253"/>
      <c r="C47" s="242"/>
      <c r="D47" s="330">
        <f>CMDS!E30</f>
        <v>0</v>
      </c>
      <c r="E47" s="331"/>
      <c r="F47" s="331"/>
      <c r="G47" s="331"/>
      <c r="H47" s="332"/>
      <c r="I47" s="330">
        <f>D47</f>
        <v>0</v>
      </c>
      <c r="J47" s="331"/>
      <c r="K47" s="331"/>
      <c r="L47" s="331"/>
      <c r="M47" s="332"/>
      <c r="N47" s="320"/>
      <c r="O47" s="321"/>
      <c r="P47" s="322"/>
      <c r="Q47" s="330">
        <f>I47*N47</f>
        <v>0</v>
      </c>
      <c r="R47" s="331"/>
      <c r="S47" s="332"/>
      <c r="T47" s="320"/>
      <c r="U47" s="321"/>
      <c r="V47" s="322"/>
      <c r="W47" s="386">
        <f>IFERROR(100*(T47-Q47)/Q47,0)</f>
        <v>0</v>
      </c>
      <c r="X47" s="387"/>
      <c r="Y47" s="388"/>
      <c r="Z47" s="352" t="s">
        <v>76</v>
      </c>
      <c r="AA47" s="253"/>
      <c r="AB47" s="253"/>
      <c r="AC47" s="353"/>
    </row>
    <row r="48" spans="1:30" ht="12.6" customHeight="1" x14ac:dyDescent="0.2">
      <c r="A48" s="316" t="s">
        <v>77</v>
      </c>
      <c r="B48" s="253"/>
      <c r="C48" s="242"/>
      <c r="D48" s="330">
        <f>CMDS!E31</f>
        <v>0</v>
      </c>
      <c r="E48" s="331"/>
      <c r="F48" s="331"/>
      <c r="G48" s="331"/>
      <c r="H48" s="332"/>
      <c r="I48" s="330">
        <f>D48</f>
        <v>0</v>
      </c>
      <c r="J48" s="331"/>
      <c r="K48" s="331"/>
      <c r="L48" s="331"/>
      <c r="M48" s="332"/>
      <c r="N48" s="330">
        <f>N47</f>
        <v>0</v>
      </c>
      <c r="O48" s="331"/>
      <c r="P48" s="332"/>
      <c r="Q48" s="330">
        <f>I48*N48</f>
        <v>0</v>
      </c>
      <c r="R48" s="331"/>
      <c r="S48" s="332"/>
      <c r="T48" s="320"/>
      <c r="U48" s="321"/>
      <c r="V48" s="322"/>
      <c r="W48" s="386" t="str">
        <f>IF(D48=0,"",100*(T48-Q48)/Q48)</f>
        <v/>
      </c>
      <c r="X48" s="387"/>
      <c r="Y48" s="388"/>
      <c r="Z48" s="352" t="s">
        <v>76</v>
      </c>
      <c r="AA48" s="253"/>
      <c r="AB48" s="253"/>
      <c r="AC48" s="353"/>
    </row>
    <row r="49" spans="1:29" ht="12.6" customHeight="1" x14ac:dyDescent="0.2">
      <c r="A49" s="393" t="s">
        <v>78</v>
      </c>
      <c r="B49" s="253"/>
      <c r="C49" s="242"/>
      <c r="D49" s="330">
        <f>CMDS!E32</f>
        <v>0</v>
      </c>
      <c r="E49" s="331"/>
      <c r="F49" s="331"/>
      <c r="G49" s="331"/>
      <c r="H49" s="332"/>
      <c r="I49" s="330">
        <f>D49</f>
        <v>0</v>
      </c>
      <c r="J49" s="331"/>
      <c r="K49" s="331"/>
      <c r="L49" s="331"/>
      <c r="M49" s="332"/>
      <c r="N49" s="330">
        <f>N47</f>
        <v>0</v>
      </c>
      <c r="O49" s="331"/>
      <c r="P49" s="332"/>
      <c r="Q49" s="330">
        <f>I49*N49</f>
        <v>0</v>
      </c>
      <c r="R49" s="331"/>
      <c r="S49" s="332"/>
      <c r="T49" s="320"/>
      <c r="U49" s="321"/>
      <c r="V49" s="322"/>
      <c r="W49" s="386" t="str">
        <f>IF(D49=0,"",100*(T49-Q49)/Q49)</f>
        <v/>
      </c>
      <c r="X49" s="387"/>
      <c r="Y49" s="388"/>
      <c r="Z49" s="352" t="s">
        <v>76</v>
      </c>
      <c r="AA49" s="253"/>
      <c r="AB49" s="253"/>
      <c r="AC49" s="353"/>
    </row>
    <row r="50" spans="1:29" ht="12.6" customHeight="1" x14ac:dyDescent="0.2">
      <c r="A50" s="416" t="s">
        <v>79</v>
      </c>
      <c r="B50" s="417"/>
      <c r="C50" s="418"/>
      <c r="D50" s="330">
        <f>CMDS!E33</f>
        <v>0</v>
      </c>
      <c r="E50" s="331"/>
      <c r="F50" s="331"/>
      <c r="G50" s="331"/>
      <c r="H50" s="332"/>
      <c r="I50" s="330">
        <f>D50</f>
        <v>0</v>
      </c>
      <c r="J50" s="331"/>
      <c r="K50" s="331"/>
      <c r="L50" s="331"/>
      <c r="M50" s="332"/>
      <c r="N50" s="330">
        <f>N47</f>
        <v>0</v>
      </c>
      <c r="O50" s="331"/>
      <c r="P50" s="332"/>
      <c r="Q50" s="330">
        <f>I50*N50</f>
        <v>0</v>
      </c>
      <c r="R50" s="331"/>
      <c r="S50" s="332"/>
      <c r="T50" s="320"/>
      <c r="U50" s="321"/>
      <c r="V50" s="322"/>
      <c r="W50" s="386" t="str">
        <f>IFERROR(IF(D50=0,"",100*(T50-Q50)/Q50),"")</f>
        <v/>
      </c>
      <c r="X50" s="387"/>
      <c r="Y50" s="388"/>
      <c r="Z50" s="352" t="s">
        <v>76</v>
      </c>
      <c r="AA50" s="253"/>
      <c r="AB50" s="253"/>
      <c r="AC50" s="353"/>
    </row>
    <row r="51" spans="1:29" ht="12.6" customHeight="1" x14ac:dyDescent="0.2">
      <c r="A51" s="416" t="s">
        <v>80</v>
      </c>
      <c r="B51" s="417"/>
      <c r="C51" s="418"/>
      <c r="D51" s="330">
        <f>CMDS!E34</f>
        <v>0</v>
      </c>
      <c r="E51" s="331"/>
      <c r="F51" s="331"/>
      <c r="G51" s="331"/>
      <c r="H51" s="332"/>
      <c r="I51" s="330">
        <f>D51</f>
        <v>0</v>
      </c>
      <c r="J51" s="331"/>
      <c r="K51" s="331"/>
      <c r="L51" s="331"/>
      <c r="M51" s="332"/>
      <c r="N51" s="330">
        <f>N48</f>
        <v>0</v>
      </c>
      <c r="O51" s="331"/>
      <c r="P51" s="332"/>
      <c r="Q51" s="330">
        <f>I51*N51</f>
        <v>0</v>
      </c>
      <c r="R51" s="331"/>
      <c r="S51" s="332"/>
      <c r="T51" s="320"/>
      <c r="U51" s="321"/>
      <c r="V51" s="322"/>
      <c r="W51" s="386" t="str">
        <f>IF(D51=0,"",100*(T51-Q51)/Q51)</f>
        <v/>
      </c>
      <c r="X51" s="387"/>
      <c r="Y51" s="388"/>
      <c r="Z51" s="352" t="s">
        <v>76</v>
      </c>
      <c r="AA51" s="253"/>
      <c r="AB51" s="253"/>
      <c r="AC51" s="353"/>
    </row>
    <row r="52" spans="1:29" ht="12.6" customHeight="1" x14ac:dyDescent="0.2">
      <c r="A52" s="402" t="s">
        <v>81</v>
      </c>
      <c r="B52" s="392" t="s">
        <v>82</v>
      </c>
      <c r="C52" s="242"/>
      <c r="D52" s="330">
        <f>CMDS!E35</f>
        <v>0</v>
      </c>
      <c r="E52" s="331"/>
      <c r="F52" s="331"/>
      <c r="G52" s="331"/>
      <c r="H52" s="332"/>
      <c r="I52" s="330">
        <f>IF(H16="","see cell L16",D52*(1+(H16-H15)/100))</f>
        <v>0</v>
      </c>
      <c r="J52" s="331"/>
      <c r="K52" s="331"/>
      <c r="L52" s="331"/>
      <c r="M52" s="332"/>
      <c r="N52" s="330">
        <f>N47</f>
        <v>0</v>
      </c>
      <c r="O52" s="331"/>
      <c r="P52" s="332"/>
      <c r="Q52" s="330">
        <f>IFERROR(I52*N52,0)</f>
        <v>0</v>
      </c>
      <c r="R52" s="331"/>
      <c r="S52" s="332"/>
      <c r="T52" s="320"/>
      <c r="U52" s="321"/>
      <c r="V52" s="322"/>
      <c r="W52" s="386">
        <f>IFERROR(100*(T52-Q52)/Q52,0)</f>
        <v>0</v>
      </c>
      <c r="X52" s="387"/>
      <c r="Y52" s="388"/>
      <c r="Z52" s="352" t="s">
        <v>83</v>
      </c>
      <c r="AA52" s="253"/>
      <c r="AB52" s="253"/>
      <c r="AC52" s="353"/>
    </row>
    <row r="53" spans="1:29" ht="12.6" customHeight="1" x14ac:dyDescent="0.2">
      <c r="A53" s="403"/>
      <c r="B53" s="392" t="s">
        <v>84</v>
      </c>
      <c r="C53" s="242"/>
      <c r="D53" s="330">
        <f>CMDS!E36</f>
        <v>0</v>
      </c>
      <c r="E53" s="331"/>
      <c r="F53" s="331"/>
      <c r="G53" s="331"/>
      <c r="H53" s="332"/>
      <c r="I53" s="330">
        <f>IF(H19="","see cell L19",D53*(1+(H19-H18)/100))</f>
        <v>0</v>
      </c>
      <c r="J53" s="331"/>
      <c r="K53" s="331"/>
      <c r="L53" s="331"/>
      <c r="M53" s="332"/>
      <c r="N53" s="330">
        <f>N47</f>
        <v>0</v>
      </c>
      <c r="O53" s="331"/>
      <c r="P53" s="332"/>
      <c r="Q53" s="330">
        <f>IFERROR(I53*N53,0)</f>
        <v>0</v>
      </c>
      <c r="R53" s="331"/>
      <c r="S53" s="332"/>
      <c r="T53" s="320"/>
      <c r="U53" s="321"/>
      <c r="V53" s="322"/>
      <c r="W53" s="386">
        <f>IFERROR(100*(T53-Q53)/Q53,0)</f>
        <v>0</v>
      </c>
      <c r="X53" s="387"/>
      <c r="Y53" s="388"/>
      <c r="Z53" s="352" t="s">
        <v>83</v>
      </c>
      <c r="AA53" s="253"/>
      <c r="AB53" s="253"/>
      <c r="AC53" s="353"/>
    </row>
    <row r="54" spans="1:29" ht="12.6" customHeight="1" x14ac:dyDescent="0.2">
      <c r="A54" s="404"/>
      <c r="B54" s="392" t="s">
        <v>85</v>
      </c>
      <c r="C54" s="242"/>
      <c r="D54" s="330">
        <f>CMDS!E38</f>
        <v>0</v>
      </c>
      <c r="E54" s="331"/>
      <c r="F54" s="331"/>
      <c r="G54" s="331"/>
      <c r="H54" s="332"/>
      <c r="I54" s="330">
        <f>IF(H22="","see cell L22",D54*(1+(H22-H21)/100))</f>
        <v>0</v>
      </c>
      <c r="J54" s="331"/>
      <c r="K54" s="331"/>
      <c r="L54" s="331"/>
      <c r="M54" s="332"/>
      <c r="N54" s="330">
        <f>N47</f>
        <v>0</v>
      </c>
      <c r="O54" s="331"/>
      <c r="P54" s="332"/>
      <c r="Q54" s="330">
        <f>IFERROR(I54*N54,0)</f>
        <v>0</v>
      </c>
      <c r="R54" s="331"/>
      <c r="S54" s="332"/>
      <c r="T54" s="493"/>
      <c r="U54" s="321"/>
      <c r="V54" s="322"/>
      <c r="W54" s="386">
        <f>IFERROR(100*(T54-Q54)/Q54,0)</f>
        <v>0</v>
      </c>
      <c r="X54" s="387"/>
      <c r="Y54" s="388"/>
      <c r="Z54" s="352" t="s">
        <v>83</v>
      </c>
      <c r="AA54" s="253"/>
      <c r="AB54" s="253"/>
      <c r="AC54" s="353"/>
    </row>
    <row r="55" spans="1:29" ht="27" customHeight="1" x14ac:dyDescent="0.2">
      <c r="A55" s="396" t="str">
        <f>CMDS!A39</f>
        <v>Water CaCl₂ / Accel Adm</v>
      </c>
      <c r="B55" s="397"/>
      <c r="C55" s="398"/>
      <c r="D55" s="330">
        <f>CMDS!E39</f>
        <v>0</v>
      </c>
      <c r="E55" s="331"/>
      <c r="F55" s="331"/>
      <c r="G55" s="331"/>
      <c r="H55" s="332"/>
      <c r="I55" s="330">
        <f>D55</f>
        <v>0</v>
      </c>
      <c r="J55" s="331"/>
      <c r="K55" s="331"/>
      <c r="L55" s="331"/>
      <c r="M55" s="332"/>
      <c r="N55" s="330">
        <f>N47</f>
        <v>0</v>
      </c>
      <c r="O55" s="331"/>
      <c r="P55" s="332"/>
      <c r="Q55" s="330">
        <f>I55*N55</f>
        <v>0</v>
      </c>
      <c r="R55" s="331"/>
      <c r="S55" s="332"/>
      <c r="T55" s="320"/>
      <c r="U55" s="321"/>
      <c r="V55" s="322"/>
      <c r="W55" s="383"/>
      <c r="X55" s="384"/>
      <c r="Y55" s="385"/>
      <c r="Z55" s="389"/>
      <c r="AA55" s="390"/>
      <c r="AB55" s="390"/>
      <c r="AC55" s="391"/>
    </row>
    <row r="56" spans="1:29" ht="12.6" customHeight="1" x14ac:dyDescent="0.2">
      <c r="A56" s="393" t="s">
        <v>86</v>
      </c>
      <c r="B56" s="253"/>
      <c r="C56" s="242"/>
      <c r="D56" s="330">
        <f>CMDS!E41</f>
        <v>0</v>
      </c>
      <c r="E56" s="331"/>
      <c r="F56" s="331"/>
      <c r="G56" s="331"/>
      <c r="H56" s="332"/>
      <c r="I56" s="330">
        <f>IFERROR(D56-(I52-D52)-(I53-D53)-(I54-D54),0)</f>
        <v>0</v>
      </c>
      <c r="J56" s="331"/>
      <c r="K56" s="331"/>
      <c r="L56" s="331"/>
      <c r="M56" s="332"/>
      <c r="N56" s="330">
        <f>N47</f>
        <v>0</v>
      </c>
      <c r="O56" s="331"/>
      <c r="P56" s="332"/>
      <c r="Q56" s="330">
        <f>I56*N56</f>
        <v>0</v>
      </c>
      <c r="R56" s="331"/>
      <c r="S56" s="332"/>
      <c r="T56" s="320"/>
      <c r="U56" s="321"/>
      <c r="V56" s="322"/>
      <c r="W56" s="386">
        <f>IFERROR(100*(((T56-Q56)+(T55-Q55))/(Q56+Q55)),0)</f>
        <v>0</v>
      </c>
      <c r="X56" s="387"/>
      <c r="Y56" s="388"/>
      <c r="Z56" s="352" t="s">
        <v>76</v>
      </c>
      <c r="AA56" s="253"/>
      <c r="AB56" s="253"/>
      <c r="AC56" s="353"/>
    </row>
    <row r="57" spans="1:29" ht="12.6" customHeight="1" thickBot="1" x14ac:dyDescent="0.25">
      <c r="A57" s="327" t="s">
        <v>87</v>
      </c>
      <c r="B57" s="328"/>
      <c r="C57" s="329"/>
      <c r="D57" s="354">
        <f>SUM(D47:D56)</f>
        <v>0</v>
      </c>
      <c r="E57" s="355"/>
      <c r="F57" s="355"/>
      <c r="G57" s="355"/>
      <c r="H57" s="356"/>
      <c r="I57" s="354">
        <f>IFERROR(SUM(I47:I56),0)</f>
        <v>0</v>
      </c>
      <c r="J57" s="355"/>
      <c r="K57" s="355"/>
      <c r="L57" s="355"/>
      <c r="M57" s="356"/>
      <c r="N57" s="366" t="s">
        <v>19</v>
      </c>
      <c r="O57" s="367"/>
      <c r="P57" s="368"/>
      <c r="Q57" s="354">
        <f>SUM(Q47:Q56)</f>
        <v>0</v>
      </c>
      <c r="R57" s="355"/>
      <c r="S57" s="356"/>
      <c r="T57" s="354">
        <f>SUM(T47:T56)</f>
        <v>0</v>
      </c>
      <c r="U57" s="355"/>
      <c r="V57" s="356"/>
      <c r="W57" s="366" t="s">
        <v>19</v>
      </c>
      <c r="X57" s="367"/>
      <c r="Y57" s="368"/>
      <c r="Z57" s="442" t="s">
        <v>19</v>
      </c>
      <c r="AA57" s="328"/>
      <c r="AB57" s="328"/>
      <c r="AC57" s="373"/>
    </row>
    <row r="58" spans="1:29" ht="13.5" thickBot="1" x14ac:dyDescent="0.25"/>
    <row r="59" spans="1:29" ht="16.5" thickBot="1" x14ac:dyDescent="0.3">
      <c r="B59" s="380" t="s">
        <v>88</v>
      </c>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2"/>
    </row>
    <row r="60" spans="1:29" ht="13.5" thickBot="1" x14ac:dyDescent="0.25">
      <c r="B60" s="14"/>
      <c r="K60" s="9"/>
      <c r="L60" s="326" t="s">
        <v>61</v>
      </c>
      <c r="M60" s="270"/>
      <c r="N60" s="271"/>
      <c r="O60" s="326" t="s">
        <v>89</v>
      </c>
      <c r="P60" s="270"/>
      <c r="Q60" s="271"/>
      <c r="R60" s="326" t="s">
        <v>62</v>
      </c>
      <c r="S60" s="270"/>
      <c r="T60" s="271"/>
      <c r="U60" s="326" t="s">
        <v>63</v>
      </c>
      <c r="V60" s="270"/>
      <c r="W60" s="271"/>
      <c r="X60" s="326" t="s">
        <v>64</v>
      </c>
      <c r="Y60" s="270"/>
      <c r="Z60" s="426"/>
    </row>
    <row r="61" spans="1:29" ht="16.5" thickBot="1" x14ac:dyDescent="0.3">
      <c r="A61" s="207"/>
      <c r="B61" s="399" t="s">
        <v>90</v>
      </c>
      <c r="C61" s="400"/>
      <c r="D61" s="400"/>
      <c r="E61" s="400"/>
      <c r="F61" s="400"/>
      <c r="G61" s="400"/>
      <c r="H61" s="400"/>
      <c r="I61" s="400"/>
      <c r="J61" s="400"/>
      <c r="K61" s="401"/>
      <c r="L61" s="270" t="s">
        <v>91</v>
      </c>
      <c r="M61" s="270"/>
      <c r="N61" s="271"/>
      <c r="O61" s="326" t="s">
        <v>91</v>
      </c>
      <c r="P61" s="270"/>
      <c r="Q61" s="271"/>
      <c r="R61" s="326" t="s">
        <v>91</v>
      </c>
      <c r="S61" s="270"/>
      <c r="T61" s="271"/>
      <c r="U61" s="326" t="s">
        <v>68</v>
      </c>
      <c r="V61" s="270"/>
      <c r="W61" s="271"/>
      <c r="X61" s="326" t="s">
        <v>68</v>
      </c>
      <c r="Y61" s="270"/>
      <c r="Z61" s="426"/>
      <c r="AA61" s="10"/>
      <c r="AB61" s="10"/>
    </row>
    <row r="62" spans="1:29" ht="13.5" thickBot="1" x14ac:dyDescent="0.25">
      <c r="A62" s="1"/>
      <c r="B62" s="14"/>
      <c r="K62" s="9"/>
      <c r="L62" s="272" t="s">
        <v>92</v>
      </c>
      <c r="M62" s="273"/>
      <c r="N62" s="345"/>
      <c r="O62" s="272" t="s">
        <v>93</v>
      </c>
      <c r="P62" s="273"/>
      <c r="Q62" s="345"/>
      <c r="R62" s="272" t="s">
        <v>93</v>
      </c>
      <c r="S62" s="273"/>
      <c r="T62" s="345"/>
      <c r="U62" s="272" t="s">
        <v>74</v>
      </c>
      <c r="V62" s="273"/>
      <c r="W62" s="345"/>
      <c r="X62" s="272" t="s">
        <v>74</v>
      </c>
      <c r="Y62" s="273"/>
      <c r="Z62" s="300"/>
    </row>
    <row r="63" spans="1:29" ht="17.25" customHeight="1" thickBot="1" x14ac:dyDescent="0.25">
      <c r="A63" s="51"/>
      <c r="B63" s="361">
        <f>CMDS!M20</f>
        <v>0</v>
      </c>
      <c r="C63" s="362"/>
      <c r="D63" s="362"/>
      <c r="E63" s="362"/>
      <c r="F63" s="362"/>
      <c r="G63" s="362"/>
      <c r="H63" s="362"/>
      <c r="I63" s="362"/>
      <c r="J63" s="362"/>
      <c r="K63" s="363"/>
      <c r="L63" s="339"/>
      <c r="M63" s="339"/>
      <c r="N63" s="340"/>
      <c r="O63" s="335">
        <f>L63*(Q47+Q48+Q49+Q50)/100</f>
        <v>0</v>
      </c>
      <c r="P63" s="336"/>
      <c r="Q63" s="337"/>
      <c r="R63" s="338"/>
      <c r="S63" s="339"/>
      <c r="T63" s="340"/>
      <c r="U63" s="374" t="str">
        <f>IF(L63=0,"",100*(R63-O63)/O63)</f>
        <v/>
      </c>
      <c r="V63" s="375"/>
      <c r="W63" s="376"/>
      <c r="X63" s="352" t="s">
        <v>94</v>
      </c>
      <c r="Y63" s="253"/>
      <c r="Z63" s="353"/>
    </row>
    <row r="64" spans="1:29" ht="15.75" customHeight="1" thickBot="1" x14ac:dyDescent="0.25">
      <c r="A64" s="1"/>
      <c r="B64" s="361">
        <f>CMDS!M21</f>
        <v>0</v>
      </c>
      <c r="C64" s="362"/>
      <c r="D64" s="362"/>
      <c r="E64" s="362"/>
      <c r="F64" s="362"/>
      <c r="G64" s="362"/>
      <c r="H64" s="362"/>
      <c r="I64" s="362"/>
      <c r="J64" s="362"/>
      <c r="K64" s="363"/>
      <c r="L64" s="339"/>
      <c r="M64" s="339"/>
      <c r="N64" s="340"/>
      <c r="O64" s="335">
        <f>L64*(Q47+Q48+Q49+Q50)/100</f>
        <v>0</v>
      </c>
      <c r="P64" s="336"/>
      <c r="Q64" s="337"/>
      <c r="R64" s="338"/>
      <c r="S64" s="339"/>
      <c r="T64" s="340"/>
      <c r="U64" s="374" t="str">
        <f>IF(L64=0,"",100*(R64-O64)/O64)</f>
        <v/>
      </c>
      <c r="V64" s="375"/>
      <c r="W64" s="376"/>
      <c r="X64" s="352" t="s">
        <v>94</v>
      </c>
      <c r="Y64" s="253"/>
      <c r="Z64" s="353"/>
    </row>
    <row r="65" spans="1:29" ht="15.75" customHeight="1" thickBot="1" x14ac:dyDescent="0.25">
      <c r="A65" s="1"/>
      <c r="B65" s="361">
        <f>CMDS!M22</f>
        <v>0</v>
      </c>
      <c r="C65" s="362"/>
      <c r="D65" s="362"/>
      <c r="E65" s="362"/>
      <c r="F65" s="362"/>
      <c r="G65" s="362"/>
      <c r="H65" s="362"/>
      <c r="I65" s="362"/>
      <c r="J65" s="362"/>
      <c r="K65" s="363"/>
      <c r="L65" s="339"/>
      <c r="M65" s="339"/>
      <c r="N65" s="340"/>
      <c r="O65" s="335">
        <f>L65*(Q47+Q48+Q49+Q50)/100</f>
        <v>0</v>
      </c>
      <c r="P65" s="336"/>
      <c r="Q65" s="337"/>
      <c r="R65" s="338"/>
      <c r="S65" s="339"/>
      <c r="T65" s="340"/>
      <c r="U65" s="374" t="str">
        <f>IF(L65=0,"",100*(R65-O65)/O65)</f>
        <v/>
      </c>
      <c r="V65" s="375"/>
      <c r="W65" s="376"/>
      <c r="X65" s="203"/>
      <c r="Y65" s="352" t="s">
        <v>94</v>
      </c>
      <c r="Z65" s="353"/>
    </row>
    <row r="66" spans="1:29" ht="14.25" customHeight="1" thickBot="1" x14ac:dyDescent="0.25">
      <c r="A66" s="1"/>
      <c r="B66" s="361">
        <f>CMDS!M23</f>
        <v>0</v>
      </c>
      <c r="C66" s="362"/>
      <c r="D66" s="362"/>
      <c r="E66" s="362"/>
      <c r="F66" s="362"/>
      <c r="G66" s="362"/>
      <c r="H66" s="362"/>
      <c r="I66" s="362"/>
      <c r="J66" s="362"/>
      <c r="K66" s="363"/>
      <c r="L66" s="364"/>
      <c r="M66" s="364"/>
      <c r="N66" s="365"/>
      <c r="O66" s="358">
        <f>L66*(Q47+Q48+Q49+Q50)/100</f>
        <v>0</v>
      </c>
      <c r="P66" s="359"/>
      <c r="Q66" s="360"/>
      <c r="R66" s="379"/>
      <c r="S66" s="364"/>
      <c r="T66" s="365"/>
      <c r="U66" s="369" t="str">
        <f>IF(L66=0,"",100*(R66-O66)/O66)</f>
        <v/>
      </c>
      <c r="V66" s="370"/>
      <c r="W66" s="371"/>
      <c r="X66" s="372" t="s">
        <v>94</v>
      </c>
      <c r="Y66" s="328"/>
      <c r="Z66" s="373"/>
    </row>
    <row r="67" spans="1:29" ht="14.25" customHeight="1" thickBot="1" x14ac:dyDescent="0.25">
      <c r="A67" s="1"/>
      <c r="B67" s="361">
        <f>CMDS!M24</f>
        <v>0</v>
      </c>
      <c r="C67" s="362"/>
      <c r="D67" s="362"/>
      <c r="E67" s="362"/>
      <c r="F67" s="362"/>
      <c r="G67" s="362"/>
      <c r="H67" s="362"/>
      <c r="I67" s="362"/>
      <c r="J67" s="362"/>
      <c r="K67" s="363"/>
      <c r="L67" s="364"/>
      <c r="M67" s="364"/>
      <c r="N67" s="365"/>
      <c r="O67" s="358">
        <f>L67*(Q47+Q48+Q49+Q50)/100</f>
        <v>0</v>
      </c>
      <c r="P67" s="359"/>
      <c r="Q67" s="360"/>
      <c r="R67" s="379"/>
      <c r="S67" s="364"/>
      <c r="T67" s="365"/>
      <c r="U67" s="369" t="str">
        <f>IF(L67=0,"",100*(R67-O67)/O67)</f>
        <v/>
      </c>
      <c r="V67" s="370"/>
      <c r="W67" s="371"/>
      <c r="X67" s="372" t="s">
        <v>94</v>
      </c>
      <c r="Y67" s="328"/>
      <c r="Z67" s="373"/>
    </row>
    <row r="69" spans="1:29" ht="12.6" customHeight="1" x14ac:dyDescent="0.2">
      <c r="A69" t="s">
        <v>95</v>
      </c>
      <c r="H69" s="357"/>
      <c r="I69" s="357"/>
      <c r="J69" s="357"/>
      <c r="K69" s="357"/>
      <c r="L69" s="357"/>
      <c r="M69" s="357"/>
      <c r="N69" s="357"/>
      <c r="O69" s="357"/>
      <c r="P69" s="357"/>
      <c r="Q69" s="357"/>
      <c r="R69" s="357"/>
      <c r="S69" s="357"/>
      <c r="T69" s="357"/>
      <c r="U69" s="357"/>
      <c r="V69" s="357"/>
      <c r="W69" s="357"/>
      <c r="X69" s="357"/>
      <c r="Y69" s="357"/>
      <c r="Z69" s="357"/>
      <c r="AA69" s="357"/>
      <c r="AB69" s="357"/>
      <c r="AC69" s="357"/>
    </row>
    <row r="70" spans="1:29" ht="12.6" customHeight="1" x14ac:dyDescent="0.2">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row>
    <row r="71" spans="1:29" ht="12.6" customHeight="1" x14ac:dyDescent="0.2">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row>
    <row r="72" spans="1:29" ht="12.6" customHeight="1" x14ac:dyDescent="0.2">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row>
    <row r="73" spans="1:29" ht="12.6" customHeight="1" x14ac:dyDescent="0.2">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row>
    <row r="74" spans="1:29" ht="12.6" customHeight="1" x14ac:dyDescent="0.2">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row>
    <row r="75" spans="1:29" ht="12.6" customHeight="1" x14ac:dyDescent="0.2">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275" t="s">
        <v>1865</v>
      </c>
      <c r="AA75" s="270"/>
      <c r="AB75" s="270"/>
      <c r="AC75" s="270"/>
    </row>
    <row r="76" spans="1:29" ht="15.75" customHeight="1" x14ac:dyDescent="0.25">
      <c r="B76" s="489" t="s">
        <v>96</v>
      </c>
      <c r="C76" s="490"/>
      <c r="D76" s="490"/>
      <c r="E76" s="490"/>
      <c r="F76" s="490"/>
      <c r="G76" s="490"/>
      <c r="H76" s="490"/>
      <c r="I76" s="490"/>
      <c r="J76" s="490"/>
      <c r="K76" s="490"/>
      <c r="L76" s="490"/>
      <c r="M76" s="490"/>
      <c r="N76" s="490"/>
      <c r="O76" s="490"/>
      <c r="P76" s="490"/>
      <c r="Q76" s="490"/>
      <c r="R76" s="490"/>
      <c r="S76" s="490"/>
      <c r="T76" s="491"/>
      <c r="U76" s="491"/>
      <c r="V76" s="491"/>
      <c r="W76" s="491"/>
      <c r="X76" s="491"/>
      <c r="Y76" s="491"/>
    </row>
    <row r="77" spans="1:29" x14ac:dyDescent="0.2">
      <c r="B77" s="378"/>
      <c r="C77" s="267"/>
      <c r="D77" s="267"/>
      <c r="E77" s="267"/>
      <c r="F77" s="267"/>
      <c r="G77" s="278"/>
      <c r="H77" s="266" t="s">
        <v>12</v>
      </c>
      <c r="I77" s="267"/>
      <c r="J77" s="278"/>
      <c r="K77" s="266" t="s">
        <v>97</v>
      </c>
      <c r="L77" s="267"/>
      <c r="M77" s="278"/>
      <c r="N77" s="266" t="s">
        <v>10</v>
      </c>
      <c r="O77" s="267"/>
      <c r="P77" s="278"/>
      <c r="Q77" s="266" t="s">
        <v>97</v>
      </c>
      <c r="R77" s="267"/>
      <c r="S77" s="267"/>
      <c r="T77" s="266" t="s">
        <v>10</v>
      </c>
      <c r="U77" s="267"/>
      <c r="V77" s="278"/>
      <c r="W77" s="266" t="s">
        <v>97</v>
      </c>
      <c r="X77" s="267"/>
      <c r="Y77" s="268"/>
    </row>
    <row r="78" spans="1:29" x14ac:dyDescent="0.2">
      <c r="B78" s="269" t="s">
        <v>98</v>
      </c>
      <c r="C78" s="270"/>
      <c r="D78" s="270"/>
      <c r="E78" s="270"/>
      <c r="F78" s="270"/>
      <c r="G78" s="271"/>
      <c r="H78" s="270" t="s">
        <v>99</v>
      </c>
      <c r="I78" s="270"/>
      <c r="J78" s="271"/>
      <c r="K78" s="274" t="s">
        <v>100</v>
      </c>
      <c r="L78" s="275"/>
      <c r="M78" s="276"/>
      <c r="N78" s="326" t="s">
        <v>101</v>
      </c>
      <c r="O78" s="270"/>
      <c r="P78" s="271"/>
      <c r="Q78" s="274" t="s">
        <v>102</v>
      </c>
      <c r="R78" s="275"/>
      <c r="S78" s="275"/>
      <c r="T78" s="326" t="s">
        <v>101</v>
      </c>
      <c r="U78" s="270"/>
      <c r="V78" s="271"/>
      <c r="W78" s="274" t="s">
        <v>102</v>
      </c>
      <c r="X78" s="275"/>
      <c r="Y78" s="277"/>
    </row>
    <row r="79" spans="1:29" x14ac:dyDescent="0.2">
      <c r="B79" s="394" t="str">
        <f>CMDS!G6</f>
        <v>Mix ID Required</v>
      </c>
      <c r="C79" s="395"/>
      <c r="D79" s="395"/>
      <c r="E79" s="395"/>
      <c r="F79" s="395"/>
      <c r="G79" s="395"/>
      <c r="H79" s="326" t="s">
        <v>17</v>
      </c>
      <c r="I79" s="270"/>
      <c r="J79" s="271"/>
      <c r="K79" s="274" t="s">
        <v>103</v>
      </c>
      <c r="L79" s="275"/>
      <c r="M79" s="276"/>
      <c r="N79" s="326" t="s">
        <v>17</v>
      </c>
      <c r="O79" s="270"/>
      <c r="P79" s="271"/>
      <c r="Q79" s="274" t="s">
        <v>101</v>
      </c>
      <c r="R79" s="275"/>
      <c r="S79" s="275"/>
      <c r="T79" s="326" t="s">
        <v>15</v>
      </c>
      <c r="U79" s="270"/>
      <c r="V79" s="271"/>
      <c r="W79" s="274" t="s">
        <v>15</v>
      </c>
      <c r="X79" s="275"/>
      <c r="Y79" s="277"/>
    </row>
    <row r="80" spans="1:29" x14ac:dyDescent="0.2">
      <c r="B80" s="344"/>
      <c r="C80" s="273"/>
      <c r="D80" s="273"/>
      <c r="E80" s="273"/>
      <c r="F80" s="273"/>
      <c r="G80" s="345"/>
      <c r="H80" s="272" t="s">
        <v>104</v>
      </c>
      <c r="I80" s="273"/>
      <c r="J80" s="345"/>
      <c r="K80" s="272" t="s">
        <v>17</v>
      </c>
      <c r="L80" s="273"/>
      <c r="M80" s="345"/>
      <c r="N80" s="272" t="s">
        <v>104</v>
      </c>
      <c r="O80" s="273"/>
      <c r="P80" s="345"/>
      <c r="Q80" s="272" t="s">
        <v>17</v>
      </c>
      <c r="R80" s="273"/>
      <c r="S80" s="273"/>
      <c r="T80" s="272" t="s">
        <v>104</v>
      </c>
      <c r="U80" s="273"/>
      <c r="V80" s="345"/>
      <c r="W80" s="272" t="s">
        <v>17</v>
      </c>
      <c r="X80" s="273"/>
      <c r="Y80" s="300"/>
    </row>
    <row r="81" spans="2:29" x14ac:dyDescent="0.2">
      <c r="B81" s="393" t="s">
        <v>105</v>
      </c>
      <c r="C81" s="253"/>
      <c r="D81" s="253"/>
      <c r="E81" s="253"/>
      <c r="F81" s="253"/>
      <c r="G81" s="242"/>
      <c r="H81" s="317">
        <f>IFERROR((T56+T55+T54-(T54/(1+H22/100))+T53-(T53/(1+H19/100))+T52-(T52/(1+H16/100))-(T54*H21/(100+H22))-(T53*H18/(100+H19))-(T52*H15/(100+H16)))/(T47+T48+T49+T50),0)</f>
        <v>0</v>
      </c>
      <c r="I81" s="318"/>
      <c r="J81" s="319"/>
      <c r="K81" s="352"/>
      <c r="L81" s="253"/>
      <c r="M81" s="242"/>
      <c r="N81" s="317" t="str">
        <f>IFERROR(((T56+T55+T54-(T54/(1+O22/100))+T53-(T53/(1+O19/100))+T52-(T52/(1+O16/100))-(T54*O21/(100+O22))-(T53*O18/(100+O19))-(T52*O15/(100+O16)))/(T47+T48+T49+T50)),"")</f>
        <v/>
      </c>
      <c r="O81" s="318"/>
      <c r="P81" s="319"/>
      <c r="Q81" s="352"/>
      <c r="R81" s="253"/>
      <c r="S81" s="253"/>
      <c r="T81" s="317" t="str">
        <f>IFERROR((T56+T55+T54-(T54/(1+V22/100))+T53-(T53/(1+V19/100))+T52-(T52/(1+V16/100))-(T54*V21/(100+V22))-(T53*V18/(100+V19))-(T52*V15/(100+V16)))/(T47+T48+T49+T50),"")</f>
        <v/>
      </c>
      <c r="U81" s="318"/>
      <c r="V81" s="319"/>
      <c r="W81" s="352"/>
      <c r="X81" s="253"/>
      <c r="Y81" s="353"/>
    </row>
    <row r="82" spans="2:29" x14ac:dyDescent="0.2">
      <c r="B82" s="316" t="s">
        <v>106</v>
      </c>
      <c r="C82" s="253"/>
      <c r="D82" s="253"/>
      <c r="E82" s="253"/>
      <c r="F82" s="253"/>
      <c r="G82" s="242"/>
      <c r="H82" s="349"/>
      <c r="I82" s="350"/>
      <c r="J82" s="351"/>
      <c r="K82" s="346"/>
      <c r="L82" s="347"/>
      <c r="M82" s="348"/>
      <c r="N82" s="349"/>
      <c r="O82" s="350"/>
      <c r="P82" s="351"/>
      <c r="Q82" s="346"/>
      <c r="R82" s="347"/>
      <c r="S82" s="347"/>
      <c r="T82" s="349"/>
      <c r="U82" s="350"/>
      <c r="V82" s="351"/>
      <c r="W82" s="346"/>
      <c r="X82" s="347"/>
      <c r="Y82" s="425"/>
    </row>
    <row r="83" spans="2:29" x14ac:dyDescent="0.2">
      <c r="B83" s="393" t="s">
        <v>107</v>
      </c>
      <c r="C83" s="253"/>
      <c r="D83" s="253"/>
      <c r="E83" s="253"/>
      <c r="F83" s="253"/>
      <c r="G83" s="242"/>
      <c r="H83" s="349"/>
      <c r="I83" s="350"/>
      <c r="J83" s="351"/>
      <c r="K83" s="346"/>
      <c r="L83" s="347"/>
      <c r="M83" s="348"/>
      <c r="N83" s="349"/>
      <c r="O83" s="350"/>
      <c r="P83" s="351"/>
      <c r="Q83" s="346"/>
      <c r="R83" s="347"/>
      <c r="S83" s="347"/>
      <c r="T83" s="349"/>
      <c r="U83" s="350"/>
      <c r="V83" s="351"/>
      <c r="W83" s="346"/>
      <c r="X83" s="347"/>
      <c r="Y83" s="425"/>
    </row>
    <row r="84" spans="2:29" x14ac:dyDescent="0.2">
      <c r="B84" s="393" t="s">
        <v>108</v>
      </c>
      <c r="C84" s="253"/>
      <c r="D84" s="253"/>
      <c r="E84" s="253"/>
      <c r="F84" s="253"/>
      <c r="G84" s="242"/>
      <c r="H84" s="317">
        <f>H82-H83</f>
        <v>0</v>
      </c>
      <c r="I84" s="318"/>
      <c r="J84" s="319"/>
      <c r="K84" s="352"/>
      <c r="L84" s="253"/>
      <c r="M84" s="242"/>
      <c r="N84" s="317">
        <f>N82-N83</f>
        <v>0</v>
      </c>
      <c r="O84" s="318"/>
      <c r="P84" s="319"/>
      <c r="Q84" s="352"/>
      <c r="R84" s="253"/>
      <c r="S84" s="253"/>
      <c r="T84" s="317">
        <f>T82-T83</f>
        <v>0</v>
      </c>
      <c r="U84" s="318"/>
      <c r="V84" s="319"/>
      <c r="W84" s="352"/>
      <c r="X84" s="253"/>
      <c r="Y84" s="353"/>
    </row>
    <row r="85" spans="2:29" ht="21.75" customHeight="1" x14ac:dyDescent="0.2">
      <c r="B85" s="443" t="s">
        <v>109</v>
      </c>
      <c r="C85" s="444"/>
      <c r="D85" s="444"/>
      <c r="E85" s="444"/>
      <c r="F85" s="444"/>
      <c r="G85" s="445"/>
      <c r="H85" s="449">
        <f>G37</f>
        <v>0</v>
      </c>
      <c r="I85" s="450"/>
      <c r="J85" s="451"/>
      <c r="K85" s="346"/>
      <c r="L85" s="347"/>
      <c r="M85" s="348"/>
      <c r="N85" s="449">
        <f>M37</f>
        <v>0</v>
      </c>
      <c r="O85" s="450"/>
      <c r="P85" s="451"/>
      <c r="Q85" s="346"/>
      <c r="R85" s="347"/>
      <c r="S85" s="347"/>
      <c r="T85" s="449">
        <f>S37</f>
        <v>0</v>
      </c>
      <c r="U85" s="450"/>
      <c r="V85" s="451"/>
      <c r="W85" s="346"/>
      <c r="X85" s="347"/>
      <c r="Y85" s="425"/>
    </row>
    <row r="86" spans="2:29" ht="12.75" customHeight="1" x14ac:dyDescent="0.2">
      <c r="B86" s="393" t="s">
        <v>110</v>
      </c>
      <c r="C86" s="253"/>
      <c r="D86" s="253"/>
      <c r="E86" s="253"/>
      <c r="F86" s="253"/>
      <c r="G86" s="242"/>
      <c r="H86" s="374">
        <f>IFERROR(H84/H85,0)</f>
        <v>0</v>
      </c>
      <c r="I86" s="375"/>
      <c r="J86" s="376"/>
      <c r="K86" s="333"/>
      <c r="L86" s="245"/>
      <c r="M86" s="334"/>
      <c r="N86" s="374">
        <f>IFERROR(N84/N85,0)</f>
        <v>0</v>
      </c>
      <c r="O86" s="375"/>
      <c r="P86" s="376"/>
      <c r="Q86" s="333"/>
      <c r="R86" s="245"/>
      <c r="S86" s="245"/>
      <c r="T86" s="374">
        <f>IFERROR(T84/T85,0)</f>
        <v>0</v>
      </c>
      <c r="U86" s="375"/>
      <c r="V86" s="376"/>
      <c r="W86" s="333"/>
      <c r="X86" s="245"/>
      <c r="Y86" s="492"/>
    </row>
    <row r="87" spans="2:29" x14ac:dyDescent="0.2">
      <c r="B87" s="393" t="s">
        <v>111</v>
      </c>
      <c r="C87" s="253"/>
      <c r="D87" s="253"/>
      <c r="E87" s="253"/>
      <c r="F87" s="253"/>
      <c r="G87" s="242"/>
      <c r="H87" s="446"/>
      <c r="I87" s="447"/>
      <c r="J87" s="448"/>
      <c r="K87" s="346"/>
      <c r="L87" s="347"/>
      <c r="M87" s="348"/>
      <c r="N87" s="446"/>
      <c r="O87" s="447"/>
      <c r="P87" s="448"/>
      <c r="Q87" s="346"/>
      <c r="R87" s="347"/>
      <c r="S87" s="347"/>
      <c r="T87" s="446"/>
      <c r="U87" s="447"/>
      <c r="V87" s="448"/>
      <c r="W87" s="346"/>
      <c r="X87" s="347"/>
      <c r="Y87" s="425"/>
    </row>
    <row r="88" spans="2:29" x14ac:dyDescent="0.2">
      <c r="B88" s="393" t="s">
        <v>28</v>
      </c>
      <c r="C88" s="253"/>
      <c r="D88" s="253"/>
      <c r="E88" s="253"/>
      <c r="F88" s="253"/>
      <c r="G88" s="242"/>
      <c r="H88" s="374">
        <f>H23</f>
        <v>0</v>
      </c>
      <c r="I88" s="375"/>
      <c r="J88" s="376"/>
      <c r="K88" s="352"/>
      <c r="L88" s="253"/>
      <c r="M88" s="242"/>
      <c r="N88" s="374">
        <f>O23</f>
        <v>0</v>
      </c>
      <c r="O88" s="375"/>
      <c r="P88" s="376"/>
      <c r="Q88" s="352"/>
      <c r="R88" s="253"/>
      <c r="S88" s="253"/>
      <c r="T88" s="374">
        <f>V23</f>
        <v>0</v>
      </c>
      <c r="U88" s="375"/>
      <c r="V88" s="376"/>
      <c r="W88" s="352"/>
      <c r="X88" s="253"/>
      <c r="Y88" s="353"/>
    </row>
    <row r="89" spans="2:29" x14ac:dyDescent="0.2">
      <c r="B89" s="393" t="s">
        <v>112</v>
      </c>
      <c r="C89" s="253"/>
      <c r="D89" s="253"/>
      <c r="E89" s="253"/>
      <c r="F89" s="253"/>
      <c r="G89" s="242"/>
      <c r="H89" s="374">
        <f>H87-H88</f>
        <v>0</v>
      </c>
      <c r="I89" s="375"/>
      <c r="J89" s="376"/>
      <c r="K89" s="352"/>
      <c r="L89" s="253"/>
      <c r="M89" s="242"/>
      <c r="N89" s="374">
        <f>N87-N88</f>
        <v>0</v>
      </c>
      <c r="O89" s="375"/>
      <c r="P89" s="376"/>
      <c r="Q89" s="352"/>
      <c r="R89" s="253"/>
      <c r="S89" s="253"/>
      <c r="T89" s="374">
        <f>T87-T88</f>
        <v>0</v>
      </c>
      <c r="U89" s="375"/>
      <c r="V89" s="376"/>
      <c r="W89" s="352"/>
      <c r="X89" s="253"/>
      <c r="Y89" s="353"/>
    </row>
    <row r="90" spans="2:29" x14ac:dyDescent="0.2">
      <c r="B90" s="393" t="s">
        <v>113</v>
      </c>
      <c r="C90" s="253"/>
      <c r="D90" s="253"/>
      <c r="E90" s="253"/>
      <c r="F90" s="253"/>
      <c r="G90" s="242"/>
      <c r="H90" s="338"/>
      <c r="I90" s="339"/>
      <c r="J90" s="340"/>
      <c r="K90" s="346"/>
      <c r="L90" s="347"/>
      <c r="M90" s="348"/>
      <c r="N90" s="338"/>
      <c r="O90" s="339"/>
      <c r="P90" s="340"/>
      <c r="Q90" s="346"/>
      <c r="R90" s="347"/>
      <c r="S90" s="347"/>
      <c r="T90" s="338"/>
      <c r="U90" s="339"/>
      <c r="V90" s="340"/>
      <c r="W90" s="346"/>
      <c r="X90" s="347"/>
      <c r="Y90" s="425"/>
    </row>
    <row r="91" spans="2:29" ht="13.5" thickBot="1" x14ac:dyDescent="0.25">
      <c r="B91" s="327" t="s">
        <v>114</v>
      </c>
      <c r="C91" s="328"/>
      <c r="D91" s="328"/>
      <c r="E91" s="328"/>
      <c r="F91" s="328"/>
      <c r="G91" s="329"/>
      <c r="H91" s="341">
        <f>IFERROR(T57/(N47*27*H86),0)</f>
        <v>0</v>
      </c>
      <c r="I91" s="342"/>
      <c r="J91" s="343"/>
      <c r="K91" s="372"/>
      <c r="L91" s="328"/>
      <c r="M91" s="329"/>
      <c r="N91" s="341">
        <f>IFERROR(T57/(N47*27*N86),0)</f>
        <v>0</v>
      </c>
      <c r="O91" s="342"/>
      <c r="P91" s="343"/>
      <c r="Q91" s="372"/>
      <c r="R91" s="328"/>
      <c r="S91" s="328"/>
      <c r="T91" s="341">
        <f>IFERROR(T57/(N47*27*T86),0)</f>
        <v>0</v>
      </c>
      <c r="U91" s="342"/>
      <c r="V91" s="343"/>
      <c r="W91" s="372"/>
      <c r="X91" s="328"/>
      <c r="Y91" s="373"/>
    </row>
    <row r="92" spans="2:29" ht="13.5" thickBot="1" x14ac:dyDescent="0.25">
      <c r="G92" s="1"/>
      <c r="H92" s="1"/>
      <c r="I92" s="1"/>
      <c r="J92" s="1"/>
      <c r="K92" s="1"/>
      <c r="L92" s="1"/>
      <c r="M92" s="21"/>
      <c r="N92" s="21"/>
      <c r="O92" s="21"/>
      <c r="P92" s="22"/>
      <c r="Q92" s="22"/>
      <c r="R92" s="22"/>
      <c r="S92" s="21"/>
      <c r="T92" s="21"/>
      <c r="U92" s="21"/>
      <c r="V92" s="22"/>
      <c r="W92" s="22"/>
      <c r="X92" s="22"/>
    </row>
    <row r="93" spans="2:29" ht="36" customHeight="1" x14ac:dyDescent="0.25">
      <c r="E93" s="263" t="s">
        <v>115</v>
      </c>
      <c r="F93" s="264"/>
      <c r="G93" s="264"/>
      <c r="H93" s="264"/>
      <c r="I93" s="264"/>
      <c r="J93" s="264"/>
      <c r="K93" s="264"/>
      <c r="L93" s="264"/>
      <c r="M93" s="264"/>
      <c r="N93" s="264"/>
      <c r="O93" s="264"/>
      <c r="P93" s="264"/>
      <c r="Q93" s="264"/>
      <c r="R93" s="264"/>
      <c r="S93" s="264"/>
      <c r="T93" s="264"/>
      <c r="U93" s="264"/>
      <c r="V93" s="264"/>
      <c r="W93" s="264"/>
      <c r="X93" s="264"/>
      <c r="Y93" s="265"/>
      <c r="Z93" s="10"/>
      <c r="AA93" s="10"/>
      <c r="AB93" s="10"/>
      <c r="AC93" s="10"/>
    </row>
    <row r="94" spans="2:29" ht="12.6" customHeight="1" x14ac:dyDescent="0.2">
      <c r="E94" s="12"/>
      <c r="F94" s="11"/>
      <c r="G94" s="13"/>
      <c r="H94" s="266" t="s">
        <v>116</v>
      </c>
      <c r="I94" s="267"/>
      <c r="J94" s="267"/>
      <c r="K94" s="267"/>
      <c r="L94" s="267"/>
      <c r="M94" s="278"/>
      <c r="N94" s="266" t="s">
        <v>97</v>
      </c>
      <c r="O94" s="267"/>
      <c r="P94" s="278"/>
      <c r="Q94" s="266" t="s">
        <v>117</v>
      </c>
      <c r="R94" s="267"/>
      <c r="S94" s="267"/>
      <c r="T94" s="267"/>
      <c r="U94" s="267"/>
      <c r="V94" s="267"/>
      <c r="W94" s="266" t="s">
        <v>97</v>
      </c>
      <c r="X94" s="267"/>
      <c r="Y94" s="268"/>
    </row>
    <row r="95" spans="2:29" ht="12.6" customHeight="1" x14ac:dyDescent="0.2">
      <c r="E95" s="14"/>
      <c r="H95" s="326" t="s">
        <v>118</v>
      </c>
      <c r="I95" s="270"/>
      <c r="J95" s="270"/>
      <c r="K95" s="270"/>
      <c r="L95" s="270"/>
      <c r="M95" s="271"/>
      <c r="N95" s="274" t="s">
        <v>119</v>
      </c>
      <c r="O95" s="275"/>
      <c r="P95" s="276"/>
      <c r="Q95" s="326" t="s">
        <v>120</v>
      </c>
      <c r="R95" s="270"/>
      <c r="S95" s="270"/>
      <c r="T95" s="270"/>
      <c r="U95" s="270"/>
      <c r="V95" s="270"/>
      <c r="W95" s="274" t="s">
        <v>102</v>
      </c>
      <c r="X95" s="275"/>
      <c r="Y95" s="277"/>
    </row>
    <row r="96" spans="2:29" ht="12.6" customHeight="1" x14ac:dyDescent="0.2">
      <c r="E96" s="269" t="s">
        <v>121</v>
      </c>
      <c r="F96" s="270"/>
      <c r="G96" s="271"/>
      <c r="H96" s="272" t="s">
        <v>122</v>
      </c>
      <c r="I96" s="273"/>
      <c r="J96" s="273"/>
      <c r="K96" s="273"/>
      <c r="L96" s="273"/>
      <c r="M96" s="273"/>
      <c r="N96" s="274" t="s">
        <v>12</v>
      </c>
      <c r="O96" s="275"/>
      <c r="P96" s="276"/>
      <c r="Q96" s="273" t="s">
        <v>122</v>
      </c>
      <c r="R96" s="273"/>
      <c r="S96" s="273"/>
      <c r="T96" s="273"/>
      <c r="U96" s="273"/>
      <c r="V96" s="273"/>
      <c r="W96" s="274" t="s">
        <v>101</v>
      </c>
      <c r="X96" s="275"/>
      <c r="Y96" s="277"/>
    </row>
    <row r="97" spans="1:25" ht="12.6" customHeight="1" x14ac:dyDescent="0.2">
      <c r="E97" s="344"/>
      <c r="F97" s="273"/>
      <c r="G97" s="345"/>
      <c r="H97" s="250" t="s">
        <v>123</v>
      </c>
      <c r="I97" s="250"/>
      <c r="J97" s="250"/>
      <c r="K97" s="250" t="s">
        <v>124</v>
      </c>
      <c r="L97" s="250"/>
      <c r="M97" s="250"/>
      <c r="N97" s="248" t="s">
        <v>17</v>
      </c>
      <c r="O97" s="248"/>
      <c r="P97" s="248"/>
      <c r="Q97" s="250" t="s">
        <v>123</v>
      </c>
      <c r="R97" s="250"/>
      <c r="S97" s="250"/>
      <c r="T97" s="250" t="s">
        <v>124</v>
      </c>
      <c r="U97" s="250"/>
      <c r="V97" s="250"/>
      <c r="W97" s="272" t="s">
        <v>17</v>
      </c>
      <c r="X97" s="273"/>
      <c r="Y97" s="300"/>
    </row>
    <row r="98" spans="1:25" ht="12.6" customHeight="1" x14ac:dyDescent="0.2">
      <c r="E98" s="452"/>
      <c r="F98" s="305"/>
      <c r="G98" s="305"/>
      <c r="H98" s="313"/>
      <c r="I98" s="313"/>
      <c r="J98" s="313"/>
      <c r="K98" s="282">
        <f>IFERROR(AVERAGE(H98:J100),0)</f>
        <v>0</v>
      </c>
      <c r="L98" s="283"/>
      <c r="M98" s="284"/>
      <c r="N98" s="305"/>
      <c r="O98" s="305"/>
      <c r="P98" s="305"/>
      <c r="Q98" s="313"/>
      <c r="R98" s="313"/>
      <c r="S98" s="313"/>
      <c r="T98" s="291">
        <f>IFERROR(AVERAGE(Q98:S100),0)</f>
        <v>0</v>
      </c>
      <c r="U98" s="292"/>
      <c r="V98" s="293"/>
      <c r="W98" s="304"/>
      <c r="X98" s="305"/>
      <c r="Y98" s="306"/>
    </row>
    <row r="99" spans="1:25" ht="12.6" customHeight="1" x14ac:dyDescent="0.2">
      <c r="E99" s="452"/>
      <c r="F99" s="305"/>
      <c r="G99" s="305"/>
      <c r="H99" s="313"/>
      <c r="I99" s="313"/>
      <c r="J99" s="313"/>
      <c r="K99" s="285"/>
      <c r="L99" s="286"/>
      <c r="M99" s="287"/>
      <c r="N99" s="305"/>
      <c r="O99" s="305"/>
      <c r="P99" s="305"/>
      <c r="Q99" s="313"/>
      <c r="R99" s="313"/>
      <c r="S99" s="313"/>
      <c r="T99" s="294"/>
      <c r="U99" s="295"/>
      <c r="V99" s="296"/>
      <c r="W99" s="304"/>
      <c r="X99" s="305"/>
      <c r="Y99" s="306"/>
    </row>
    <row r="100" spans="1:25" ht="12.6" customHeight="1" thickBot="1" x14ac:dyDescent="0.25">
      <c r="E100" s="314"/>
      <c r="F100" s="315"/>
      <c r="G100" s="315"/>
      <c r="H100" s="301"/>
      <c r="I100" s="302"/>
      <c r="J100" s="303"/>
      <c r="K100" s="288"/>
      <c r="L100" s="289"/>
      <c r="M100" s="290"/>
      <c r="N100" s="307"/>
      <c r="O100" s="308"/>
      <c r="P100" s="309"/>
      <c r="Q100" s="301"/>
      <c r="R100" s="302"/>
      <c r="S100" s="303"/>
      <c r="T100" s="297"/>
      <c r="U100" s="298"/>
      <c r="V100" s="299"/>
      <c r="W100" s="310"/>
      <c r="X100" s="308"/>
      <c r="Y100" s="311"/>
    </row>
    <row r="101" spans="1:25" ht="12.6" customHeight="1" x14ac:dyDescent="0.2">
      <c r="E101" s="456"/>
      <c r="F101" s="280"/>
      <c r="G101" s="280"/>
      <c r="H101" s="312"/>
      <c r="I101" s="312"/>
      <c r="J101" s="312"/>
      <c r="K101" s="282">
        <f>IFERROR(AVERAGE(H101:J103),0)</f>
        <v>0</v>
      </c>
      <c r="L101" s="283"/>
      <c r="M101" s="284"/>
      <c r="N101" s="280"/>
      <c r="O101" s="280"/>
      <c r="P101" s="280"/>
      <c r="Q101" s="312"/>
      <c r="R101" s="312"/>
      <c r="S101" s="312"/>
      <c r="T101" s="291">
        <f>IFERROR(AVERAGE(Q101:S103),0)</f>
        <v>0</v>
      </c>
      <c r="U101" s="292"/>
      <c r="V101" s="293"/>
      <c r="W101" s="279"/>
      <c r="X101" s="280"/>
      <c r="Y101" s="281"/>
    </row>
    <row r="102" spans="1:25" ht="12.6" customHeight="1" x14ac:dyDescent="0.2">
      <c r="E102" s="452"/>
      <c r="F102" s="305"/>
      <c r="G102" s="305"/>
      <c r="H102" s="313"/>
      <c r="I102" s="313"/>
      <c r="J102" s="313"/>
      <c r="K102" s="285"/>
      <c r="L102" s="286"/>
      <c r="M102" s="287"/>
      <c r="N102" s="305"/>
      <c r="O102" s="305"/>
      <c r="P102" s="305"/>
      <c r="Q102" s="313"/>
      <c r="R102" s="313"/>
      <c r="S102" s="313"/>
      <c r="T102" s="294"/>
      <c r="U102" s="295"/>
      <c r="V102" s="296"/>
      <c r="W102" s="304"/>
      <c r="X102" s="305"/>
      <c r="Y102" s="306"/>
    </row>
    <row r="103" spans="1:25" ht="12.6" customHeight="1" thickBot="1" x14ac:dyDescent="0.25">
      <c r="E103" s="314"/>
      <c r="F103" s="315"/>
      <c r="G103" s="315"/>
      <c r="H103" s="301"/>
      <c r="I103" s="302"/>
      <c r="J103" s="303"/>
      <c r="K103" s="288"/>
      <c r="L103" s="289"/>
      <c r="M103" s="290"/>
      <c r="N103" s="307"/>
      <c r="O103" s="308"/>
      <c r="P103" s="309"/>
      <c r="Q103" s="301"/>
      <c r="R103" s="302"/>
      <c r="S103" s="303"/>
      <c r="T103" s="297"/>
      <c r="U103" s="298"/>
      <c r="V103" s="299"/>
      <c r="W103" s="310"/>
      <c r="X103" s="308"/>
      <c r="Y103" s="311"/>
    </row>
    <row r="104" spans="1:25" ht="12.6" customHeight="1" x14ac:dyDescent="0.2">
      <c r="E104" s="456"/>
      <c r="F104" s="280"/>
      <c r="G104" s="280"/>
      <c r="H104" s="280"/>
      <c r="I104" s="280"/>
      <c r="J104" s="280"/>
      <c r="K104" s="282">
        <f>IFERROR(AVERAGE(H104:J106),0)</f>
        <v>0</v>
      </c>
      <c r="L104" s="283"/>
      <c r="M104" s="284"/>
      <c r="N104" s="280"/>
      <c r="O104" s="280"/>
      <c r="P104" s="280"/>
      <c r="Q104" s="280"/>
      <c r="R104" s="280"/>
      <c r="S104" s="280"/>
      <c r="T104" s="291">
        <f>IFERROR(AVERAGE(Q104:S106),0)</f>
        <v>0</v>
      </c>
      <c r="U104" s="292"/>
      <c r="V104" s="293"/>
      <c r="W104" s="279"/>
      <c r="X104" s="280"/>
      <c r="Y104" s="281"/>
    </row>
    <row r="105" spans="1:25" ht="12.6" customHeight="1" x14ac:dyDescent="0.2">
      <c r="E105" s="452"/>
      <c r="F105" s="305"/>
      <c r="G105" s="305"/>
      <c r="H105" s="346"/>
      <c r="I105" s="347"/>
      <c r="J105" s="348"/>
      <c r="K105" s="285"/>
      <c r="L105" s="286"/>
      <c r="M105" s="287"/>
      <c r="N105" s="346"/>
      <c r="O105" s="347"/>
      <c r="P105" s="348"/>
      <c r="Q105" s="346"/>
      <c r="R105" s="347"/>
      <c r="S105" s="348"/>
      <c r="T105" s="294"/>
      <c r="U105" s="295"/>
      <c r="V105" s="296"/>
      <c r="W105" s="453"/>
      <c r="X105" s="347"/>
      <c r="Y105" s="425"/>
    </row>
    <row r="106" spans="1:25" ht="12.6" customHeight="1" thickBot="1" x14ac:dyDescent="0.25">
      <c r="E106" s="314"/>
      <c r="F106" s="315"/>
      <c r="G106" s="315"/>
      <c r="H106" s="315"/>
      <c r="I106" s="315"/>
      <c r="J106" s="315"/>
      <c r="K106" s="288"/>
      <c r="L106" s="289"/>
      <c r="M106" s="290"/>
      <c r="N106" s="315"/>
      <c r="O106" s="315"/>
      <c r="P106" s="315"/>
      <c r="Q106" s="315"/>
      <c r="R106" s="315"/>
      <c r="S106" s="315"/>
      <c r="T106" s="297"/>
      <c r="U106" s="298"/>
      <c r="V106" s="299"/>
      <c r="W106" s="454"/>
      <c r="X106" s="315"/>
      <c r="Y106" s="455"/>
    </row>
    <row r="107" spans="1:25" ht="12.6" customHeight="1" x14ac:dyDescent="0.2">
      <c r="E107" s="457"/>
      <c r="F107" s="458"/>
      <c r="G107" s="459"/>
      <c r="H107" s="460"/>
      <c r="I107" s="437"/>
      <c r="J107" s="461"/>
      <c r="K107" s="282">
        <f>IFERROR(AVERAGE(H107:J109),0)</f>
        <v>0</v>
      </c>
      <c r="L107" s="283"/>
      <c r="M107" s="284"/>
      <c r="N107" s="460"/>
      <c r="O107" s="437"/>
      <c r="P107" s="461"/>
      <c r="Q107" s="460"/>
      <c r="R107" s="437"/>
      <c r="S107" s="461"/>
      <c r="T107" s="291">
        <f>IFERROR(AVERAGE(Q107:S109),0)</f>
        <v>0</v>
      </c>
      <c r="U107" s="292"/>
      <c r="V107" s="293"/>
      <c r="W107" s="460"/>
      <c r="X107" s="437"/>
      <c r="Y107" s="462"/>
    </row>
    <row r="108" spans="1:25" ht="12.6" customHeight="1" x14ac:dyDescent="0.2">
      <c r="E108" s="463"/>
      <c r="F108" s="464"/>
      <c r="G108" s="465"/>
      <c r="H108" s="346"/>
      <c r="I108" s="347"/>
      <c r="J108" s="348"/>
      <c r="K108" s="285"/>
      <c r="L108" s="286"/>
      <c r="M108" s="287"/>
      <c r="N108" s="346"/>
      <c r="O108" s="347"/>
      <c r="P108" s="348"/>
      <c r="Q108" s="346"/>
      <c r="R108" s="347"/>
      <c r="S108" s="348"/>
      <c r="T108" s="294"/>
      <c r="U108" s="295"/>
      <c r="V108" s="296"/>
      <c r="W108" s="346"/>
      <c r="X108" s="347"/>
      <c r="Y108" s="425"/>
    </row>
    <row r="109" spans="1:25" ht="12.6" customHeight="1" thickBot="1" x14ac:dyDescent="0.25">
      <c r="E109" s="466"/>
      <c r="F109" s="467"/>
      <c r="G109" s="468"/>
      <c r="H109" s="307"/>
      <c r="I109" s="308"/>
      <c r="J109" s="309"/>
      <c r="K109" s="288"/>
      <c r="L109" s="289"/>
      <c r="M109" s="290"/>
      <c r="N109" s="307"/>
      <c r="O109" s="308"/>
      <c r="P109" s="309"/>
      <c r="Q109" s="307"/>
      <c r="R109" s="308"/>
      <c r="S109" s="309"/>
      <c r="T109" s="297"/>
      <c r="U109" s="298"/>
      <c r="V109" s="299"/>
      <c r="W109" s="307"/>
      <c r="X109" s="308"/>
      <c r="Y109" s="311"/>
    </row>
    <row r="110" spans="1:25" ht="12.6" customHeight="1" x14ac:dyDescent="0.2">
      <c r="E110" s="456"/>
      <c r="F110" s="280"/>
      <c r="G110" s="280"/>
      <c r="H110" s="460"/>
      <c r="I110" s="437"/>
      <c r="J110" s="461"/>
      <c r="K110" s="282">
        <f>IFERROR(AVERAGE(H110:J112),0)</f>
        <v>0</v>
      </c>
      <c r="L110" s="283"/>
      <c r="M110" s="284"/>
      <c r="N110" s="460"/>
      <c r="O110" s="437"/>
      <c r="P110" s="461"/>
      <c r="Q110" s="460"/>
      <c r="R110" s="437"/>
      <c r="S110" s="461"/>
      <c r="T110" s="291">
        <f>IFERROR(AVERAGE(Q110:S112),0)</f>
        <v>0</v>
      </c>
      <c r="U110" s="292"/>
      <c r="V110" s="293"/>
      <c r="W110" s="481"/>
      <c r="X110" s="437"/>
      <c r="Y110" s="462"/>
    </row>
    <row r="111" spans="1:25" ht="12.6" customHeight="1" x14ac:dyDescent="0.2">
      <c r="A111" s="18"/>
      <c r="B111" s="18"/>
      <c r="C111" s="18"/>
      <c r="D111" s="18"/>
      <c r="E111" s="452"/>
      <c r="F111" s="305"/>
      <c r="G111" s="305"/>
      <c r="H111" s="305"/>
      <c r="I111" s="305"/>
      <c r="J111" s="305"/>
      <c r="K111" s="285"/>
      <c r="L111" s="286"/>
      <c r="M111" s="287"/>
      <c r="N111" s="305"/>
      <c r="O111" s="305"/>
      <c r="P111" s="305"/>
      <c r="Q111" s="346"/>
      <c r="R111" s="347"/>
      <c r="S111" s="348"/>
      <c r="T111" s="294"/>
      <c r="U111" s="295"/>
      <c r="V111" s="296"/>
      <c r="W111" s="304"/>
      <c r="X111" s="305"/>
      <c r="Y111" s="306"/>
    </row>
    <row r="112" spans="1:25" ht="12.6" customHeight="1" thickBot="1" x14ac:dyDescent="0.25">
      <c r="A112" s="18"/>
      <c r="B112" s="18"/>
      <c r="C112" s="18"/>
      <c r="D112" s="18"/>
      <c r="E112" s="314"/>
      <c r="F112" s="315"/>
      <c r="G112" s="315"/>
      <c r="H112" s="315"/>
      <c r="I112" s="315"/>
      <c r="J112" s="315"/>
      <c r="K112" s="288"/>
      <c r="L112" s="289"/>
      <c r="M112" s="290"/>
      <c r="N112" s="315"/>
      <c r="O112" s="315"/>
      <c r="P112" s="315"/>
      <c r="Q112" s="307"/>
      <c r="R112" s="308"/>
      <c r="S112" s="309"/>
      <c r="T112" s="297"/>
      <c r="U112" s="298"/>
      <c r="V112" s="299"/>
      <c r="W112" s="454"/>
      <c r="X112" s="315"/>
      <c r="Y112" s="455"/>
    </row>
    <row r="113" spans="1:33" ht="12.6" customHeight="1" x14ac:dyDescent="0.2">
      <c r="A113" s="18"/>
      <c r="B113" s="18"/>
      <c r="C113" s="18"/>
      <c r="D113" s="18"/>
      <c r="E113" s="456"/>
      <c r="F113" s="280"/>
      <c r="G113" s="280"/>
      <c r="H113" s="280"/>
      <c r="I113" s="280"/>
      <c r="J113" s="280"/>
      <c r="K113" s="469">
        <f>IFERROR(AVERAGE(H113:J114),0)</f>
        <v>0</v>
      </c>
      <c r="L113" s="470"/>
      <c r="M113" s="471"/>
      <c r="N113" s="280"/>
      <c r="O113" s="280"/>
      <c r="P113" s="280"/>
      <c r="Q113" s="280"/>
      <c r="R113" s="280"/>
      <c r="S113" s="280"/>
      <c r="T113" s="475">
        <f>IFERROR(AVERAGE(Q113:S114),0)</f>
        <v>0</v>
      </c>
      <c r="U113" s="476"/>
      <c r="V113" s="477"/>
      <c r="W113" s="279"/>
      <c r="X113" s="280"/>
      <c r="Y113" s="281"/>
    </row>
    <row r="114" spans="1:33" ht="12.6" customHeight="1" thickBot="1" x14ac:dyDescent="0.25">
      <c r="A114" s="18"/>
      <c r="B114" s="18"/>
      <c r="C114" s="18"/>
      <c r="D114" s="18"/>
      <c r="E114" s="314"/>
      <c r="F114" s="315"/>
      <c r="G114" s="315"/>
      <c r="H114" s="315"/>
      <c r="I114" s="315"/>
      <c r="J114" s="315"/>
      <c r="K114" s="472"/>
      <c r="L114" s="473"/>
      <c r="M114" s="474"/>
      <c r="N114" s="315"/>
      <c r="O114" s="315"/>
      <c r="P114" s="315"/>
      <c r="Q114" s="315"/>
      <c r="R114" s="315"/>
      <c r="S114" s="315"/>
      <c r="T114" s="478"/>
      <c r="U114" s="479"/>
      <c r="V114" s="480"/>
      <c r="W114" s="454"/>
      <c r="X114" s="315"/>
      <c r="Y114" s="455"/>
    </row>
    <row r="115" spans="1:33" ht="12.6" customHeight="1" x14ac:dyDescent="0.2">
      <c r="A115" s="18"/>
      <c r="B115" s="18"/>
      <c r="C115" s="18"/>
      <c r="D115" s="18"/>
      <c r="E115" s="187"/>
      <c r="F115" s="22"/>
      <c r="G115" s="22"/>
      <c r="H115" s="22"/>
      <c r="I115" s="22"/>
      <c r="J115" s="22"/>
      <c r="K115" s="188"/>
      <c r="L115" s="188"/>
      <c r="M115" s="188"/>
      <c r="N115" s="22"/>
      <c r="O115" s="22"/>
      <c r="P115" s="22"/>
      <c r="Q115" s="22"/>
      <c r="R115" s="22"/>
      <c r="S115" s="22"/>
      <c r="T115" s="210"/>
      <c r="U115" s="210"/>
      <c r="V115" s="210"/>
      <c r="W115" s="187"/>
      <c r="X115" s="22"/>
      <c r="Y115" s="22"/>
      <c r="AF115" s="177">
        <v>1</v>
      </c>
    </row>
    <row r="116" spans="1:33" x14ac:dyDescent="0.2">
      <c r="A116" s="18"/>
      <c r="B116" s="18"/>
      <c r="C116" s="18"/>
      <c r="D116" s="18"/>
      <c r="E116" s="187"/>
      <c r="F116" s="22"/>
      <c r="G116" s="22"/>
      <c r="H116" s="22"/>
      <c r="I116" s="22"/>
      <c r="J116" s="22"/>
      <c r="K116" s="188"/>
      <c r="L116" s="188"/>
      <c r="M116" s="188"/>
      <c r="N116" s="22"/>
      <c r="O116" s="22"/>
      <c r="P116" s="22"/>
      <c r="Q116" s="22"/>
      <c r="R116" s="22"/>
      <c r="S116" s="22"/>
      <c r="T116" s="210"/>
      <c r="U116" s="210"/>
      <c r="V116" s="210"/>
      <c r="W116" s="187"/>
      <c r="X116" s="22"/>
      <c r="Y116" s="22"/>
      <c r="AF116" s="177">
        <v>2</v>
      </c>
    </row>
    <row r="117" spans="1:33" x14ac:dyDescent="0.2">
      <c r="A117" s="189"/>
      <c r="B117" s="189"/>
      <c r="C117" s="232" t="s">
        <v>125</v>
      </c>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F117" s="177">
        <v>3</v>
      </c>
    </row>
    <row r="118" spans="1:33" x14ac:dyDescent="0.2">
      <c r="A118" s="189"/>
      <c r="B118" s="189"/>
      <c r="C118" s="189"/>
      <c r="D118" s="189"/>
      <c r="E118" s="190"/>
      <c r="F118" s="211"/>
      <c r="G118" s="486" t="s">
        <v>126</v>
      </c>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F118" s="177">
        <v>4</v>
      </c>
    </row>
    <row r="119" spans="1:33" x14ac:dyDescent="0.2">
      <c r="A119" s="189"/>
      <c r="B119" s="189"/>
      <c r="C119" s="189"/>
      <c r="D119" s="189"/>
      <c r="E119" s="190"/>
      <c r="F119" s="211"/>
      <c r="G119" s="486" t="s">
        <v>127</v>
      </c>
      <c r="H119" s="486"/>
      <c r="I119" s="486"/>
      <c r="J119" s="486"/>
      <c r="K119" s="486"/>
      <c r="L119" s="486"/>
      <c r="M119" s="486"/>
      <c r="N119" s="486"/>
      <c r="O119" s="486"/>
      <c r="P119" s="486"/>
      <c r="Q119" s="486"/>
      <c r="R119" s="486"/>
      <c r="S119" s="486"/>
      <c r="T119" s="486"/>
      <c r="U119" s="486"/>
      <c r="V119" s="486"/>
      <c r="W119" s="486"/>
      <c r="X119" s="486"/>
      <c r="Y119" s="486"/>
      <c r="Z119" s="486"/>
      <c r="AA119" s="486"/>
      <c r="AB119" s="486"/>
    </row>
    <row r="120" spans="1:33" x14ac:dyDescent="0.2">
      <c r="A120" s="189"/>
      <c r="B120" s="232" t="s">
        <v>128</v>
      </c>
      <c r="C120" s="233"/>
      <c r="D120" s="233"/>
      <c r="E120" s="233"/>
      <c r="F120" s="237"/>
      <c r="G120" s="238"/>
      <c r="H120" s="211"/>
      <c r="I120" s="487"/>
      <c r="J120" s="488"/>
      <c r="K120" s="488"/>
      <c r="L120" s="488"/>
      <c r="M120" s="488"/>
      <c r="N120" s="488"/>
      <c r="O120" s="488"/>
      <c r="P120" s="488"/>
      <c r="Q120" s="488"/>
      <c r="R120" s="488"/>
      <c r="S120" s="488"/>
      <c r="T120" s="488"/>
      <c r="U120" s="488"/>
      <c r="V120" s="488"/>
      <c r="W120" s="488"/>
      <c r="X120" s="488"/>
      <c r="Y120" s="488"/>
      <c r="Z120" s="488"/>
      <c r="AA120" s="488"/>
      <c r="AB120" s="488"/>
    </row>
    <row r="121" spans="1:33" x14ac:dyDescent="0.2">
      <c r="A121" s="189"/>
      <c r="B121" s="232" t="s">
        <v>129</v>
      </c>
      <c r="C121" s="233"/>
      <c r="D121" s="233"/>
      <c r="E121" s="233"/>
      <c r="F121" s="237"/>
      <c r="G121" s="238"/>
      <c r="H121" s="211"/>
      <c r="I121" s="488"/>
      <c r="J121" s="488"/>
      <c r="K121" s="488"/>
      <c r="L121" s="488"/>
      <c r="M121" s="488"/>
      <c r="N121" s="488"/>
      <c r="O121" s="488"/>
      <c r="P121" s="488"/>
      <c r="Q121" s="488"/>
      <c r="R121" s="488"/>
      <c r="S121" s="488"/>
      <c r="T121" s="488"/>
      <c r="U121" s="488"/>
      <c r="V121" s="488"/>
      <c r="W121" s="488"/>
      <c r="X121" s="488"/>
      <c r="Y121" s="488"/>
      <c r="Z121" s="488"/>
      <c r="AA121" s="488"/>
      <c r="AB121" s="488"/>
    </row>
    <row r="122" spans="1:33" x14ac:dyDescent="0.2">
      <c r="A122" s="189"/>
      <c r="B122" s="232" t="s">
        <v>130</v>
      </c>
      <c r="C122" s="233"/>
      <c r="D122" s="233"/>
      <c r="E122" s="233"/>
      <c r="F122" s="237"/>
      <c r="G122" s="238"/>
      <c r="H122" s="211"/>
      <c r="I122" s="488"/>
      <c r="J122" s="488"/>
      <c r="K122" s="488"/>
      <c r="L122" s="488"/>
      <c r="M122" s="488"/>
      <c r="N122" s="488"/>
      <c r="O122" s="488"/>
      <c r="P122" s="488"/>
      <c r="Q122" s="488"/>
      <c r="R122" s="488"/>
      <c r="S122" s="488"/>
      <c r="T122" s="488"/>
      <c r="U122" s="488"/>
      <c r="V122" s="488"/>
      <c r="W122" s="488"/>
      <c r="X122" s="488"/>
      <c r="Y122" s="488"/>
      <c r="Z122" s="488"/>
      <c r="AA122" s="488"/>
      <c r="AB122" s="488"/>
    </row>
    <row r="123" spans="1:33" x14ac:dyDescent="0.2">
      <c r="A123" s="189"/>
      <c r="B123" s="232" t="s">
        <v>131</v>
      </c>
      <c r="C123" s="233"/>
      <c r="D123" s="233"/>
      <c r="E123" s="233"/>
      <c r="F123" s="237"/>
      <c r="G123" s="238"/>
      <c r="H123" s="211"/>
      <c r="I123" s="488"/>
      <c r="J123" s="488"/>
      <c r="K123" s="488"/>
      <c r="L123" s="488"/>
      <c r="M123" s="488"/>
      <c r="N123" s="488"/>
      <c r="O123" s="488"/>
      <c r="P123" s="488"/>
      <c r="Q123" s="488"/>
      <c r="R123" s="488"/>
      <c r="S123" s="488"/>
      <c r="T123" s="488"/>
      <c r="U123" s="488"/>
      <c r="V123" s="488"/>
      <c r="W123" s="488"/>
      <c r="X123" s="488"/>
      <c r="Y123" s="488"/>
      <c r="Z123" s="488"/>
      <c r="AA123" s="488"/>
      <c r="AB123" s="488"/>
    </row>
    <row r="124" spans="1:33" x14ac:dyDescent="0.2">
      <c r="A124" s="189"/>
      <c r="B124" s="232" t="s">
        <v>132</v>
      </c>
      <c r="C124" s="233"/>
      <c r="D124" s="233"/>
      <c r="E124" s="233"/>
      <c r="F124" s="239">
        <f>(F120+F121+F122+F123)/4</f>
        <v>0</v>
      </c>
      <c r="G124" s="239"/>
      <c r="H124" s="211"/>
      <c r="I124" s="488"/>
      <c r="J124" s="488"/>
      <c r="K124" s="488"/>
      <c r="L124" s="488"/>
      <c r="M124" s="488"/>
      <c r="N124" s="488"/>
      <c r="O124" s="488"/>
      <c r="P124" s="488"/>
      <c r="Q124" s="488"/>
      <c r="R124" s="488"/>
      <c r="S124" s="488"/>
      <c r="T124" s="488"/>
      <c r="U124" s="488"/>
      <c r="V124" s="488"/>
      <c r="W124" s="488"/>
      <c r="X124" s="488"/>
      <c r="Y124" s="488"/>
      <c r="Z124" s="488"/>
      <c r="AA124" s="488"/>
      <c r="AB124" s="488"/>
    </row>
    <row r="125" spans="1:33" x14ac:dyDescent="0.2">
      <c r="A125" s="189"/>
      <c r="B125" s="189"/>
      <c r="C125" s="189"/>
      <c r="D125" s="189"/>
      <c r="E125" s="190"/>
      <c r="F125" s="211"/>
      <c r="G125" s="211"/>
      <c r="H125" s="211"/>
      <c r="I125" s="488"/>
      <c r="J125" s="488"/>
      <c r="K125" s="488"/>
      <c r="L125" s="488"/>
      <c r="M125" s="488"/>
      <c r="N125" s="488"/>
      <c r="O125" s="488"/>
      <c r="P125" s="488"/>
      <c r="Q125" s="488"/>
      <c r="R125" s="488"/>
      <c r="S125" s="488"/>
      <c r="T125" s="488"/>
      <c r="U125" s="488"/>
      <c r="V125" s="488"/>
      <c r="W125" s="488"/>
      <c r="X125" s="488"/>
      <c r="Y125" s="488"/>
      <c r="Z125" s="488"/>
      <c r="AA125" s="488"/>
      <c r="AB125" s="488"/>
      <c r="AG125" s="193">
        <v>0</v>
      </c>
    </row>
    <row r="126" spans="1:33" s="177" customFormat="1" x14ac:dyDescent="0.2">
      <c r="A126" s="189"/>
      <c r="B126" s="189"/>
      <c r="C126" s="189"/>
      <c r="D126" s="189"/>
      <c r="E126" s="190"/>
      <c r="F126" s="211"/>
      <c r="G126" s="211"/>
      <c r="H126" s="211"/>
      <c r="I126" s="488"/>
      <c r="J126" s="488"/>
      <c r="K126" s="488"/>
      <c r="L126" s="488"/>
      <c r="M126" s="488"/>
      <c r="N126" s="488"/>
      <c r="O126" s="488"/>
      <c r="P126" s="488"/>
      <c r="Q126" s="488"/>
      <c r="R126" s="488"/>
      <c r="S126" s="488"/>
      <c r="T126" s="488"/>
      <c r="U126" s="488"/>
      <c r="V126" s="488"/>
      <c r="W126" s="488"/>
      <c r="X126" s="488"/>
      <c r="Y126" s="488"/>
      <c r="Z126" s="488"/>
      <c r="AA126" s="488"/>
      <c r="AB126" s="488"/>
      <c r="AC126"/>
      <c r="AG126" s="193">
        <v>0.25</v>
      </c>
    </row>
    <row r="127" spans="1:33" s="177" customFormat="1" x14ac:dyDescent="0.2">
      <c r="A127" s="189"/>
      <c r="B127" s="189"/>
      <c r="C127" s="189"/>
      <c r="D127" s="189"/>
      <c r="E127" s="190"/>
      <c r="F127" s="211"/>
      <c r="G127" s="211"/>
      <c r="H127" s="211"/>
      <c r="I127" s="488"/>
      <c r="J127" s="488"/>
      <c r="K127" s="488"/>
      <c r="L127" s="488"/>
      <c r="M127" s="488"/>
      <c r="N127" s="488"/>
      <c r="O127" s="488"/>
      <c r="P127" s="488"/>
      <c r="Q127" s="488"/>
      <c r="R127" s="488"/>
      <c r="S127" s="488"/>
      <c r="T127" s="488"/>
      <c r="U127" s="488"/>
      <c r="V127" s="488"/>
      <c r="W127" s="488"/>
      <c r="X127" s="488"/>
      <c r="Y127" s="488"/>
      <c r="Z127" s="488"/>
      <c r="AA127" s="488"/>
      <c r="AB127" s="488"/>
      <c r="AC127"/>
      <c r="AG127" s="193">
        <v>0.5</v>
      </c>
    </row>
    <row r="128" spans="1:33" s="177" customFormat="1" x14ac:dyDescent="0.2">
      <c r="A128" s="189"/>
      <c r="B128" s="189"/>
      <c r="C128" s="189"/>
      <c r="D128" s="189"/>
      <c r="E128" s="190"/>
      <c r="F128" s="211"/>
      <c r="G128" s="211"/>
      <c r="H128" s="211"/>
      <c r="I128" s="488"/>
      <c r="J128" s="488"/>
      <c r="K128" s="488"/>
      <c r="L128" s="488"/>
      <c r="M128" s="488"/>
      <c r="N128" s="488"/>
      <c r="O128" s="488"/>
      <c r="P128" s="488"/>
      <c r="Q128" s="488"/>
      <c r="R128" s="488"/>
      <c r="S128" s="488"/>
      <c r="T128" s="488"/>
      <c r="U128" s="488"/>
      <c r="V128" s="488"/>
      <c r="W128" s="488"/>
      <c r="X128" s="488"/>
      <c r="Y128" s="488"/>
      <c r="Z128" s="488"/>
      <c r="AA128" s="488"/>
      <c r="AB128" s="488"/>
      <c r="AC128"/>
      <c r="AG128" s="193">
        <v>0.75</v>
      </c>
    </row>
    <row r="129" spans="1:33" s="177" customFormat="1" x14ac:dyDescent="0.2">
      <c r="A129" s="189"/>
      <c r="B129" s="189"/>
      <c r="C129" s="189"/>
      <c r="D129" s="189"/>
      <c r="E129" s="190"/>
      <c r="F129" s="211"/>
      <c r="G129" s="211"/>
      <c r="H129" s="211"/>
      <c r="I129" s="488"/>
      <c r="J129" s="488"/>
      <c r="K129" s="488"/>
      <c r="L129" s="488"/>
      <c r="M129" s="488"/>
      <c r="N129" s="488"/>
      <c r="O129" s="488"/>
      <c r="P129" s="488"/>
      <c r="Q129" s="488"/>
      <c r="R129" s="488"/>
      <c r="S129" s="488"/>
      <c r="T129" s="488"/>
      <c r="U129" s="488"/>
      <c r="V129" s="488"/>
      <c r="W129" s="488"/>
      <c r="X129" s="488"/>
      <c r="Y129" s="488"/>
      <c r="Z129" s="488"/>
      <c r="AA129" s="488"/>
      <c r="AB129" s="488"/>
      <c r="AC129"/>
      <c r="AG129" s="193">
        <v>1</v>
      </c>
    </row>
    <row r="130" spans="1:33" s="177" customFormat="1" x14ac:dyDescent="0.2">
      <c r="A130" s="189"/>
      <c r="B130" s="189"/>
      <c r="C130" s="189"/>
      <c r="D130" s="189"/>
      <c r="E130" s="190"/>
      <c r="F130" s="211"/>
      <c r="G130" s="211"/>
      <c r="H130" s="211"/>
      <c r="I130" s="488"/>
      <c r="J130" s="488"/>
      <c r="K130" s="488"/>
      <c r="L130" s="488"/>
      <c r="M130" s="488"/>
      <c r="N130" s="488"/>
      <c r="O130" s="488"/>
      <c r="P130" s="488"/>
      <c r="Q130" s="488"/>
      <c r="R130" s="488"/>
      <c r="S130" s="488"/>
      <c r="T130" s="488"/>
      <c r="U130" s="488"/>
      <c r="V130" s="488"/>
      <c r="W130" s="488"/>
      <c r="X130" s="488"/>
      <c r="Y130" s="488"/>
      <c r="Z130" s="488"/>
      <c r="AA130" s="488"/>
      <c r="AB130" s="488"/>
      <c r="AC130"/>
      <c r="AG130" s="193">
        <v>1.25</v>
      </c>
    </row>
    <row r="131" spans="1:33" s="177" customFormat="1" x14ac:dyDescent="0.2">
      <c r="A131" s="189"/>
      <c r="B131" s="189"/>
      <c r="C131" s="189"/>
      <c r="D131" s="189"/>
      <c r="E131" s="190"/>
      <c r="F131" s="211"/>
      <c r="G131" s="211"/>
      <c r="H131" s="211"/>
      <c r="I131" s="488"/>
      <c r="J131" s="488"/>
      <c r="K131" s="488"/>
      <c r="L131" s="488"/>
      <c r="M131" s="488"/>
      <c r="N131" s="488"/>
      <c r="O131" s="488"/>
      <c r="P131" s="488"/>
      <c r="Q131" s="488"/>
      <c r="R131" s="488"/>
      <c r="S131" s="488"/>
      <c r="T131" s="488"/>
      <c r="U131" s="488"/>
      <c r="V131" s="488"/>
      <c r="W131" s="488"/>
      <c r="X131" s="488"/>
      <c r="Y131" s="488"/>
      <c r="Z131" s="488"/>
      <c r="AA131" s="488"/>
      <c r="AB131" s="488"/>
      <c r="AC131"/>
      <c r="AG131" s="193">
        <v>1.5</v>
      </c>
    </row>
    <row r="132" spans="1:33" s="177" customFormat="1" x14ac:dyDescent="0.2">
      <c r="A132" s="189"/>
      <c r="B132" s="189"/>
      <c r="C132" s="189"/>
      <c r="D132" s="189"/>
      <c r="E132" s="190"/>
      <c r="F132" s="211"/>
      <c r="G132" s="211"/>
      <c r="H132" s="211"/>
      <c r="I132" s="488"/>
      <c r="J132" s="488"/>
      <c r="K132" s="488"/>
      <c r="L132" s="488"/>
      <c r="M132" s="488"/>
      <c r="N132" s="488"/>
      <c r="O132" s="488"/>
      <c r="P132" s="488"/>
      <c r="Q132" s="488"/>
      <c r="R132" s="488"/>
      <c r="S132" s="488"/>
      <c r="T132" s="488"/>
      <c r="U132" s="488"/>
      <c r="V132" s="488"/>
      <c r="W132" s="488"/>
      <c r="X132" s="488"/>
      <c r="Y132" s="488"/>
      <c r="Z132" s="488"/>
      <c r="AA132" s="488"/>
      <c r="AB132" s="488"/>
      <c r="AC132"/>
    </row>
    <row r="133" spans="1:33" s="177" customFormat="1" x14ac:dyDescent="0.2">
      <c r="A133" s="189"/>
      <c r="B133" s="189"/>
      <c r="C133" s="189"/>
      <c r="D133" s="189"/>
      <c r="E133" s="190"/>
      <c r="F133" s="211"/>
      <c r="G133" s="211"/>
      <c r="H133" s="211"/>
      <c r="I133" s="488"/>
      <c r="J133" s="488"/>
      <c r="K133" s="488"/>
      <c r="L133" s="488"/>
      <c r="M133" s="488"/>
      <c r="N133" s="488"/>
      <c r="O133" s="488"/>
      <c r="P133" s="488"/>
      <c r="Q133" s="488"/>
      <c r="R133" s="488"/>
      <c r="S133" s="488"/>
      <c r="T133" s="488"/>
      <c r="U133" s="488"/>
      <c r="V133" s="488"/>
      <c r="W133" s="488"/>
      <c r="X133" s="488"/>
      <c r="Y133" s="488"/>
      <c r="Z133" s="488"/>
      <c r="AA133" s="488"/>
      <c r="AB133" s="488"/>
      <c r="AC133"/>
    </row>
    <row r="134" spans="1:33" s="177" customFormat="1" x14ac:dyDescent="0.2">
      <c r="A134" s="189"/>
      <c r="B134" s="189"/>
      <c r="C134" s="189"/>
      <c r="D134" s="189"/>
      <c r="E134" s="190"/>
      <c r="F134" s="211"/>
      <c r="G134" s="211"/>
      <c r="H134" s="211"/>
      <c r="I134" s="488"/>
      <c r="J134" s="488"/>
      <c r="K134" s="488"/>
      <c r="L134" s="488"/>
      <c r="M134" s="488"/>
      <c r="N134" s="488"/>
      <c r="O134" s="488"/>
      <c r="P134" s="488"/>
      <c r="Q134" s="488"/>
      <c r="R134" s="488"/>
      <c r="S134" s="488"/>
      <c r="T134" s="488"/>
      <c r="U134" s="488"/>
      <c r="V134" s="488"/>
      <c r="W134" s="488"/>
      <c r="X134" s="488"/>
      <c r="Y134" s="488"/>
      <c r="Z134" s="488"/>
      <c r="AA134" s="488"/>
      <c r="AB134" s="488"/>
      <c r="AC134"/>
    </row>
    <row r="135" spans="1:33" s="177" customFormat="1" x14ac:dyDescent="0.2">
      <c r="A135" s="189"/>
      <c r="B135" s="189"/>
      <c r="C135" s="189"/>
      <c r="D135" s="189"/>
      <c r="E135" s="190"/>
      <c r="F135" s="211"/>
      <c r="G135" s="211"/>
      <c r="H135" s="211"/>
      <c r="I135" s="488"/>
      <c r="J135" s="488"/>
      <c r="K135" s="488"/>
      <c r="L135" s="488"/>
      <c r="M135" s="488"/>
      <c r="N135" s="488"/>
      <c r="O135" s="488"/>
      <c r="P135" s="488"/>
      <c r="Q135" s="488"/>
      <c r="R135" s="488"/>
      <c r="S135" s="488"/>
      <c r="T135" s="488"/>
      <c r="U135" s="488"/>
      <c r="V135" s="488"/>
      <c r="W135" s="488"/>
      <c r="X135" s="488"/>
      <c r="Y135" s="488"/>
      <c r="Z135" s="488"/>
      <c r="AA135" s="488"/>
      <c r="AB135" s="488"/>
      <c r="AC135"/>
    </row>
    <row r="136" spans="1:33" s="177" customFormat="1" x14ac:dyDescent="0.2">
      <c r="A136" s="189"/>
      <c r="B136" s="189"/>
      <c r="C136" s="189"/>
      <c r="D136" s="189"/>
      <c r="E136" s="190"/>
      <c r="F136" s="211"/>
      <c r="G136" s="211"/>
      <c r="H136" s="211"/>
      <c r="I136" s="488"/>
      <c r="J136" s="488"/>
      <c r="K136" s="488"/>
      <c r="L136" s="488"/>
      <c r="M136" s="488"/>
      <c r="N136" s="488"/>
      <c r="O136" s="488"/>
      <c r="P136" s="488"/>
      <c r="Q136" s="488"/>
      <c r="R136" s="488"/>
      <c r="S136" s="488"/>
      <c r="T136" s="488"/>
      <c r="U136" s="488"/>
      <c r="V136" s="488"/>
      <c r="W136" s="488"/>
      <c r="X136" s="488"/>
      <c r="Y136" s="488"/>
      <c r="Z136" s="488"/>
      <c r="AA136" s="488"/>
      <c r="AB136" s="488"/>
      <c r="AC136"/>
    </row>
    <row r="137" spans="1:33" s="177" customFormat="1" x14ac:dyDescent="0.2">
      <c r="A137" s="189"/>
      <c r="B137" s="189"/>
      <c r="C137" s="189"/>
      <c r="D137" s="189"/>
      <c r="E137" s="190"/>
      <c r="F137" s="211"/>
      <c r="G137" s="211"/>
      <c r="H137" s="211"/>
      <c r="I137" s="488"/>
      <c r="J137" s="488"/>
      <c r="K137" s="488"/>
      <c r="L137" s="488"/>
      <c r="M137" s="488"/>
      <c r="N137" s="488"/>
      <c r="O137" s="488"/>
      <c r="P137" s="488"/>
      <c r="Q137" s="488"/>
      <c r="R137" s="488"/>
      <c r="S137" s="488"/>
      <c r="T137" s="488"/>
      <c r="U137" s="488"/>
      <c r="V137" s="488"/>
      <c r="W137" s="488"/>
      <c r="X137" s="488"/>
      <c r="Y137" s="488"/>
      <c r="Z137" s="488"/>
      <c r="AA137" s="488"/>
      <c r="AB137" s="488"/>
      <c r="AC137"/>
    </row>
    <row r="138" spans="1:33" s="177" customFormat="1" x14ac:dyDescent="0.2">
      <c r="A138" s="189"/>
      <c r="B138" s="189"/>
      <c r="C138" s="189"/>
      <c r="D138" s="189"/>
      <c r="E138" s="190"/>
      <c r="F138" s="211"/>
      <c r="G138" s="211"/>
      <c r="H138" s="211"/>
      <c r="I138" s="488"/>
      <c r="J138" s="488"/>
      <c r="K138" s="488"/>
      <c r="L138" s="488"/>
      <c r="M138" s="488"/>
      <c r="N138" s="488"/>
      <c r="O138" s="488"/>
      <c r="P138" s="488"/>
      <c r="Q138" s="488"/>
      <c r="R138" s="488"/>
      <c r="S138" s="488"/>
      <c r="T138" s="488"/>
      <c r="U138" s="488"/>
      <c r="V138" s="488"/>
      <c r="W138" s="488"/>
      <c r="X138" s="488"/>
      <c r="Y138" s="488"/>
      <c r="Z138" s="488"/>
      <c r="AA138" s="488"/>
      <c r="AB138" s="488"/>
      <c r="AC138"/>
    </row>
    <row r="139" spans="1:33" s="177" customFormat="1" x14ac:dyDescent="0.2">
      <c r="A139" s="189"/>
      <c r="B139" s="189"/>
      <c r="C139" s="189"/>
      <c r="D139" s="189"/>
      <c r="E139" s="190"/>
      <c r="F139" s="211"/>
      <c r="G139" s="211"/>
      <c r="H139" s="211"/>
      <c r="I139" s="488"/>
      <c r="J139" s="488"/>
      <c r="K139" s="488"/>
      <c r="L139" s="488"/>
      <c r="M139" s="488"/>
      <c r="N139" s="488"/>
      <c r="O139" s="488"/>
      <c r="P139" s="488"/>
      <c r="Q139" s="488"/>
      <c r="R139" s="488"/>
      <c r="S139" s="488"/>
      <c r="T139" s="488"/>
      <c r="U139" s="488"/>
      <c r="V139" s="488"/>
      <c r="W139" s="488"/>
      <c r="X139" s="488"/>
      <c r="Y139" s="488"/>
      <c r="Z139" s="488"/>
      <c r="AA139" s="488"/>
      <c r="AB139" s="488"/>
      <c r="AC139"/>
    </row>
    <row r="140" spans="1:33" s="177" customFormat="1" x14ac:dyDescent="0.2">
      <c r="A140" s="189"/>
      <c r="B140" s="189"/>
      <c r="C140" s="189"/>
      <c r="D140" s="189"/>
      <c r="E140" s="190"/>
      <c r="F140" s="211"/>
      <c r="G140" s="211"/>
      <c r="H140" s="211"/>
      <c r="I140" s="488"/>
      <c r="J140" s="488"/>
      <c r="K140" s="488"/>
      <c r="L140" s="488"/>
      <c r="M140" s="488"/>
      <c r="N140" s="488"/>
      <c r="O140" s="488"/>
      <c r="P140" s="488"/>
      <c r="Q140" s="488"/>
      <c r="R140" s="488"/>
      <c r="S140" s="488"/>
      <c r="T140" s="488"/>
      <c r="U140" s="488"/>
      <c r="V140" s="488"/>
      <c r="W140" s="488"/>
      <c r="X140" s="488"/>
      <c r="Y140" s="488"/>
      <c r="Z140" s="488"/>
      <c r="AA140" s="488"/>
      <c r="AB140" s="488"/>
      <c r="AC140"/>
    </row>
    <row r="141" spans="1:33" s="177" customFormat="1" x14ac:dyDescent="0.2">
      <c r="A141" s="189"/>
      <c r="B141" s="189"/>
      <c r="C141" s="189"/>
      <c r="D141" s="189"/>
      <c r="E141" s="190"/>
      <c r="F141" s="211"/>
      <c r="G141" s="211"/>
      <c r="H141" s="211"/>
      <c r="I141" s="211"/>
      <c r="J141" s="211"/>
      <c r="K141" s="191"/>
      <c r="L141" s="191"/>
      <c r="M141" s="191"/>
      <c r="N141" s="211"/>
      <c r="O141" s="211"/>
      <c r="P141" s="211"/>
      <c r="Q141" s="211"/>
      <c r="R141" s="211"/>
      <c r="S141" s="211"/>
      <c r="T141" s="192"/>
      <c r="U141" s="192"/>
      <c r="V141" s="192"/>
      <c r="W141" s="190"/>
      <c r="X141" s="211"/>
      <c r="Y141" s="211"/>
      <c r="Z141" s="189"/>
      <c r="AA141" s="189"/>
      <c r="AB141" s="189"/>
      <c r="AC141"/>
    </row>
    <row r="142" spans="1:33" s="177" customFormat="1" ht="15" x14ac:dyDescent="0.2">
      <c r="A142" s="189"/>
      <c r="B142" s="189"/>
      <c r="C142" s="240" t="s">
        <v>133</v>
      </c>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row>
    <row r="143" spans="1:33" s="177" customFormat="1" x14ac:dyDescent="0.2">
      <c r="A143" s="189"/>
      <c r="B143" s="189"/>
      <c r="C143" s="189"/>
      <c r="D143" s="189"/>
      <c r="E143" s="190"/>
      <c r="F143" s="211"/>
      <c r="G143" s="211"/>
      <c r="H143" s="211"/>
      <c r="I143" s="211"/>
      <c r="J143" s="211"/>
      <c r="K143" s="191"/>
      <c r="L143" s="191"/>
      <c r="M143" s="191"/>
      <c r="N143" s="211"/>
      <c r="O143" s="211"/>
      <c r="P143" s="211"/>
      <c r="Q143" s="211"/>
      <c r="R143" s="211"/>
      <c r="S143" s="211"/>
      <c r="T143" s="192"/>
      <c r="U143" s="192"/>
      <c r="V143" s="192"/>
      <c r="W143" s="190"/>
      <c r="X143" s="211"/>
      <c r="Y143" s="211"/>
      <c r="Z143" s="189"/>
      <c r="AA143" s="189"/>
      <c r="AB143" s="189"/>
      <c r="AC143"/>
    </row>
    <row r="144" spans="1:33" s="177" customFormat="1" x14ac:dyDescent="0.2">
      <c r="A144" s="189"/>
      <c r="B144" s="189"/>
      <c r="C144" s="189"/>
      <c r="D144" s="189"/>
      <c r="E144" s="190"/>
      <c r="F144" s="211"/>
      <c r="G144" s="211"/>
      <c r="H144" s="211"/>
      <c r="I144" s="211"/>
      <c r="J144" s="211"/>
      <c r="K144" s="191"/>
      <c r="L144" s="191"/>
      <c r="M144" s="191"/>
      <c r="N144" s="211"/>
      <c r="O144" s="211"/>
      <c r="P144" s="211"/>
      <c r="Q144" s="211"/>
      <c r="R144" s="211"/>
      <c r="S144" s="211"/>
      <c r="T144" s="192"/>
      <c r="U144" s="192"/>
      <c r="V144" s="192"/>
      <c r="W144" s="190"/>
      <c r="X144" s="211"/>
      <c r="Y144" s="211"/>
      <c r="Z144" s="189"/>
      <c r="AA144" s="189"/>
      <c r="AB144" s="189"/>
      <c r="AC144"/>
    </row>
    <row r="145" spans="1:29" s="177" customFormat="1" x14ac:dyDescent="0.2">
      <c r="A145" s="189"/>
      <c r="B145" s="189"/>
      <c r="C145" s="232" t="s">
        <v>128</v>
      </c>
      <c r="D145" s="233"/>
      <c r="E145" s="233"/>
      <c r="F145" s="233"/>
      <c r="G145" s="234"/>
      <c r="H145" s="235"/>
      <c r="I145" s="211"/>
      <c r="J145" s="211"/>
      <c r="K145" s="191"/>
      <c r="L145" s="191"/>
      <c r="M145" s="191"/>
      <c r="N145" s="211"/>
      <c r="O145" s="211"/>
      <c r="P145" s="211"/>
      <c r="Q145" s="211"/>
      <c r="R145" s="211"/>
      <c r="S145" s="211"/>
      <c r="T145" s="192"/>
      <c r="U145" s="192"/>
      <c r="V145" s="192"/>
      <c r="W145" s="190"/>
      <c r="X145" s="211"/>
      <c r="Y145" s="211"/>
      <c r="Z145" s="189"/>
      <c r="AA145" s="189"/>
      <c r="AB145" s="189"/>
      <c r="AC145"/>
    </row>
    <row r="146" spans="1:29" s="177" customFormat="1" x14ac:dyDescent="0.2">
      <c r="A146" s="189"/>
      <c r="B146" s="189"/>
      <c r="C146" s="232" t="s">
        <v>129</v>
      </c>
      <c r="D146" s="233"/>
      <c r="E146" s="233"/>
      <c r="F146" s="233"/>
      <c r="G146" s="234"/>
      <c r="H146" s="235"/>
      <c r="I146" s="211"/>
      <c r="J146" s="211"/>
      <c r="K146" s="191"/>
      <c r="L146" s="191"/>
      <c r="M146" s="191"/>
      <c r="N146" s="211"/>
      <c r="O146" s="211"/>
      <c r="P146" s="211"/>
      <c r="Q146" s="211"/>
      <c r="R146" s="211"/>
      <c r="S146" s="211"/>
      <c r="T146" s="192"/>
      <c r="U146" s="192"/>
      <c r="V146" s="192"/>
      <c r="W146" s="190"/>
      <c r="X146" s="211"/>
      <c r="Y146" s="211"/>
      <c r="Z146" s="189"/>
      <c r="AA146" s="189"/>
      <c r="AB146" s="189"/>
      <c r="AC146"/>
    </row>
    <row r="147" spans="1:29" s="177" customFormat="1" x14ac:dyDescent="0.2">
      <c r="A147" s="189"/>
      <c r="B147" s="189"/>
      <c r="C147" s="232" t="s">
        <v>130</v>
      </c>
      <c r="D147" s="233"/>
      <c r="E147" s="233"/>
      <c r="F147" s="233"/>
      <c r="G147" s="234"/>
      <c r="H147" s="235"/>
      <c r="I147" s="211"/>
      <c r="J147" s="211"/>
      <c r="K147" s="191"/>
      <c r="L147" s="191"/>
      <c r="M147" s="191"/>
      <c r="N147" s="211"/>
      <c r="O147" s="211"/>
      <c r="P147" s="211"/>
      <c r="Q147" s="211"/>
      <c r="R147" s="211"/>
      <c r="S147" s="211"/>
      <c r="T147" s="192"/>
      <c r="U147" s="192"/>
      <c r="V147" s="192"/>
      <c r="W147" s="190"/>
      <c r="X147" s="211"/>
      <c r="Y147" s="211"/>
      <c r="Z147" s="189"/>
      <c r="AA147" s="189"/>
      <c r="AB147" s="189"/>
      <c r="AC147"/>
    </row>
    <row r="148" spans="1:29" s="177" customFormat="1" x14ac:dyDescent="0.2">
      <c r="A148" s="189"/>
      <c r="B148" s="189"/>
      <c r="C148" s="232" t="s">
        <v>131</v>
      </c>
      <c r="D148" s="233"/>
      <c r="E148" s="233"/>
      <c r="F148" s="233"/>
      <c r="G148" s="234"/>
      <c r="H148" s="235"/>
      <c r="I148" s="211"/>
      <c r="J148" s="211"/>
      <c r="K148" s="191"/>
      <c r="L148" s="191"/>
      <c r="M148" s="191"/>
      <c r="N148" s="211"/>
      <c r="O148" s="211"/>
      <c r="P148" s="211"/>
      <c r="Q148" s="211"/>
      <c r="R148" s="211"/>
      <c r="S148" s="211"/>
      <c r="T148" s="192"/>
      <c r="U148" s="192"/>
      <c r="V148" s="192"/>
      <c r="W148" s="190"/>
      <c r="X148" s="211"/>
      <c r="Y148" s="211"/>
      <c r="Z148" s="189"/>
      <c r="AA148" s="189"/>
      <c r="AB148" s="189"/>
      <c r="AC148"/>
    </row>
    <row r="149" spans="1:29" s="177" customFormat="1" x14ac:dyDescent="0.2">
      <c r="A149" s="189"/>
      <c r="B149" s="189"/>
      <c r="C149" s="232" t="s">
        <v>132</v>
      </c>
      <c r="D149" s="233"/>
      <c r="E149" s="233"/>
      <c r="F149" s="233"/>
      <c r="G149" s="236">
        <f>(G145+G146+G147+G148)/4</f>
        <v>0</v>
      </c>
      <c r="H149" s="236"/>
      <c r="I149" s="211"/>
      <c r="J149" s="211"/>
      <c r="K149" s="191"/>
      <c r="L149" s="191"/>
      <c r="M149" s="191"/>
      <c r="N149" s="211"/>
      <c r="O149" s="211"/>
      <c r="P149" s="211"/>
      <c r="Q149" s="211"/>
      <c r="R149" s="211"/>
      <c r="S149" s="211"/>
      <c r="T149" s="192"/>
      <c r="U149" s="192"/>
      <c r="V149" s="192"/>
      <c r="W149" s="190"/>
      <c r="X149" s="211"/>
      <c r="Y149" s="211"/>
      <c r="Z149" s="189"/>
      <c r="AA149" s="189"/>
      <c r="AB149" s="189"/>
      <c r="AC149"/>
    </row>
    <row r="150" spans="1:29" s="177" customFormat="1" x14ac:dyDescent="0.2">
      <c r="A150" s="189"/>
      <c r="B150" s="189"/>
      <c r="C150" s="189"/>
      <c r="D150" s="189"/>
      <c r="E150" s="189"/>
      <c r="F150" s="190"/>
      <c r="G150" s="211"/>
      <c r="H150" s="211"/>
      <c r="I150" s="211"/>
      <c r="J150" s="211"/>
      <c r="K150" s="191"/>
      <c r="L150" s="191"/>
      <c r="M150" s="191"/>
      <c r="N150" s="211"/>
      <c r="O150" s="211"/>
      <c r="P150" s="211"/>
      <c r="Q150" s="211"/>
      <c r="R150" s="211"/>
      <c r="S150" s="211"/>
      <c r="T150" s="192"/>
      <c r="U150" s="192"/>
      <c r="V150" s="192"/>
      <c r="W150" s="190"/>
      <c r="X150" s="211"/>
      <c r="Y150" s="211"/>
      <c r="Z150" s="189"/>
      <c r="AA150" s="189"/>
      <c r="AB150" s="189"/>
      <c r="AC150"/>
    </row>
    <row r="151" spans="1:29" s="177" customFormat="1" x14ac:dyDescent="0.2">
      <c r="A151" s="189"/>
      <c r="B151" s="189"/>
      <c r="C151" s="189"/>
      <c r="D151" s="189"/>
      <c r="E151" s="190"/>
      <c r="F151" s="211"/>
      <c r="G151" s="211"/>
      <c r="H151" s="211"/>
      <c r="I151" s="211"/>
      <c r="J151" s="211"/>
      <c r="K151" s="191"/>
      <c r="L151" s="191"/>
      <c r="M151" s="191"/>
      <c r="N151" s="211"/>
      <c r="O151" s="211"/>
      <c r="P151" s="211"/>
      <c r="Q151" s="211"/>
      <c r="R151" s="211"/>
      <c r="S151" s="211"/>
      <c r="T151" s="192"/>
      <c r="U151" s="192"/>
      <c r="V151" s="192"/>
      <c r="W151" s="190"/>
      <c r="X151" s="211"/>
      <c r="Y151" s="211"/>
      <c r="Z151" s="189"/>
      <c r="AA151" s="189"/>
      <c r="AB151" s="189"/>
      <c r="AC151"/>
    </row>
    <row r="152" spans="1:29" s="177" customFormat="1" x14ac:dyDescent="0.2">
      <c r="A152" s="189"/>
      <c r="B152" s="189"/>
      <c r="C152" s="189"/>
      <c r="D152" s="189"/>
      <c r="E152" s="190"/>
      <c r="F152" s="211"/>
      <c r="G152" s="211"/>
      <c r="H152" s="211"/>
      <c r="I152" s="211"/>
      <c r="J152" s="211"/>
      <c r="K152" s="191"/>
      <c r="L152" s="191"/>
      <c r="M152" s="191"/>
      <c r="N152" s="211"/>
      <c r="O152" s="211"/>
      <c r="P152" s="211"/>
      <c r="Q152" s="211"/>
      <c r="R152" s="211"/>
      <c r="S152" s="211"/>
      <c r="T152" s="192"/>
      <c r="U152" s="192"/>
      <c r="V152" s="192"/>
      <c r="W152" s="190"/>
      <c r="X152" s="211"/>
      <c r="Y152" s="211"/>
      <c r="Z152" s="189"/>
      <c r="AA152" s="189"/>
      <c r="AB152" s="189"/>
      <c r="AC152"/>
    </row>
    <row r="153" spans="1:29" s="177" customFormat="1" x14ac:dyDescent="0.2">
      <c r="A153" s="189"/>
      <c r="B153" s="189"/>
      <c r="C153" s="189"/>
      <c r="D153" s="189"/>
      <c r="E153" s="190"/>
      <c r="F153" s="211"/>
      <c r="G153" s="211"/>
      <c r="H153" s="211"/>
      <c r="I153" s="211"/>
      <c r="J153" s="211"/>
      <c r="K153" s="191"/>
      <c r="L153" s="191"/>
      <c r="M153" s="191"/>
      <c r="N153" s="211"/>
      <c r="O153" s="211"/>
      <c r="P153" s="211"/>
      <c r="Q153" s="211"/>
      <c r="R153" s="211"/>
      <c r="S153" s="211"/>
      <c r="T153" s="192"/>
      <c r="U153" s="192"/>
      <c r="V153" s="192"/>
      <c r="W153" s="190"/>
      <c r="X153" s="211"/>
      <c r="Y153" s="211"/>
      <c r="Z153" s="189"/>
      <c r="AA153" s="189"/>
      <c r="AB153" s="189"/>
      <c r="AC153"/>
    </row>
    <row r="154" spans="1:29" s="177" customFormat="1" x14ac:dyDescent="0.2">
      <c r="A154" s="189"/>
      <c r="B154" s="189"/>
      <c r="C154" s="189"/>
      <c r="D154" s="189"/>
      <c r="E154" s="190"/>
      <c r="F154" s="211"/>
      <c r="G154" s="211"/>
      <c r="H154" s="211"/>
      <c r="I154" s="211"/>
      <c r="J154" s="211"/>
      <c r="K154" s="191"/>
      <c r="L154" s="191"/>
      <c r="M154" s="191"/>
      <c r="N154" s="211"/>
      <c r="O154" s="211"/>
      <c r="P154" s="211"/>
      <c r="Q154" s="211"/>
      <c r="R154" s="211"/>
      <c r="S154" s="211"/>
      <c r="T154" s="192"/>
      <c r="U154" s="192"/>
      <c r="V154" s="192"/>
      <c r="W154" s="190"/>
      <c r="X154" s="211"/>
      <c r="Y154" s="211"/>
      <c r="Z154" s="189"/>
      <c r="AA154" s="189"/>
      <c r="AB154" s="189"/>
      <c r="AC154"/>
    </row>
    <row r="155" spans="1:29" s="177" customFormat="1" x14ac:dyDescent="0.2">
      <c r="A155" s="189"/>
      <c r="B155" s="189"/>
      <c r="C155" s="189"/>
      <c r="D155" s="189"/>
      <c r="E155" s="190"/>
      <c r="F155" s="211"/>
      <c r="G155" s="211"/>
      <c r="H155" s="211"/>
      <c r="I155" s="211"/>
      <c r="J155" s="211"/>
      <c r="K155" s="191"/>
      <c r="L155" s="191"/>
      <c r="M155" s="191"/>
      <c r="N155" s="211"/>
      <c r="O155" s="211"/>
      <c r="P155" s="211"/>
      <c r="Q155" s="211"/>
      <c r="R155" s="211"/>
      <c r="S155" s="211"/>
      <c r="T155" s="192"/>
      <c r="U155" s="192"/>
      <c r="V155" s="192"/>
      <c r="W155" s="190"/>
      <c r="X155" s="211"/>
      <c r="Y155" s="211"/>
      <c r="Z155" s="189"/>
      <c r="AA155" s="189"/>
      <c r="AB155" s="189"/>
      <c r="AC155"/>
    </row>
    <row r="156" spans="1:29" s="177" customFormat="1" x14ac:dyDescent="0.2">
      <c r="A156" s="189"/>
      <c r="B156" s="189"/>
      <c r="C156" s="189"/>
      <c r="D156" s="189"/>
      <c r="E156" s="190"/>
      <c r="F156" s="211"/>
      <c r="G156" s="211"/>
      <c r="H156" s="211"/>
      <c r="I156" s="211"/>
      <c r="J156" s="211"/>
      <c r="K156" s="191"/>
      <c r="L156" s="191"/>
      <c r="M156" s="191"/>
      <c r="N156" s="211"/>
      <c r="O156" s="211"/>
      <c r="P156" s="211"/>
      <c r="Q156" s="211"/>
      <c r="R156" s="211"/>
      <c r="S156" s="211"/>
      <c r="T156" s="192"/>
      <c r="U156" s="192"/>
      <c r="V156" s="192"/>
      <c r="W156" s="190"/>
      <c r="X156" s="211"/>
      <c r="Y156" s="211"/>
      <c r="Z156" s="189"/>
      <c r="AA156" s="189"/>
      <c r="AB156" s="189"/>
      <c r="AC156"/>
    </row>
    <row r="157" spans="1:29" s="177"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7" customFormat="1" x14ac:dyDescent="0.2">
      <c r="A158" s="5" t="s">
        <v>134</v>
      </c>
      <c r="B158"/>
      <c r="C158"/>
      <c r="D158"/>
      <c r="E158"/>
      <c r="F158"/>
      <c r="G158"/>
      <c r="H158"/>
      <c r="I158" s="482"/>
      <c r="J158" s="357"/>
      <c r="K158" s="357"/>
      <c r="L158" s="357"/>
      <c r="M158" s="357"/>
      <c r="N158" s="357"/>
      <c r="O158" s="357"/>
      <c r="P158" s="357"/>
      <c r="Q158" s="357"/>
      <c r="R158" s="357"/>
      <c r="S158" s="357"/>
      <c r="T158" s="357"/>
      <c r="U158" s="357"/>
      <c r="V158" s="357"/>
      <c r="W158" s="357"/>
      <c r="X158" s="357"/>
      <c r="Y158" s="357"/>
      <c r="Z158" s="357"/>
      <c r="AA158" s="357"/>
      <c r="AB158" s="357"/>
      <c r="AC158" s="357"/>
    </row>
    <row r="159" spans="1:29" s="177" customFormat="1" x14ac:dyDescent="0.2">
      <c r="A159" s="482"/>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c r="AC159" s="357"/>
    </row>
    <row r="160" spans="1:29" s="177" customFormat="1" x14ac:dyDescent="0.2">
      <c r="A160" s="482"/>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c r="AC160" s="357"/>
    </row>
    <row r="161" spans="1:29" s="177" customFormat="1" x14ac:dyDescent="0.2">
      <c r="A161" s="482"/>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c r="AC161" s="357"/>
    </row>
    <row r="162" spans="1:29" s="177" customFormat="1" x14ac:dyDescent="0.2">
      <c r="A162" s="482"/>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c r="AC162" s="357"/>
    </row>
    <row r="163" spans="1:29" s="177" customFormat="1" x14ac:dyDescent="0.2">
      <c r="A163" s="482"/>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c r="AC163" s="357"/>
    </row>
    <row r="164" spans="1:29" s="177" customFormat="1" x14ac:dyDescent="0.2">
      <c r="A164" s="482"/>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c r="AC164" s="357"/>
    </row>
    <row r="165" spans="1:29" s="177" customFormat="1" x14ac:dyDescent="0.2">
      <c r="A165" s="482"/>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c r="AC165" s="357"/>
    </row>
    <row r="166" spans="1:29" s="177" customFormat="1" x14ac:dyDescent="0.2">
      <c r="A166" s="482"/>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c r="AC166" s="357"/>
    </row>
    <row r="167" spans="1:29" s="177" customFormat="1" ht="13.5" thickBot="1" x14ac:dyDescent="0.25">
      <c r="A167" s="483"/>
      <c r="B167" s="483"/>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4" t="s">
        <v>1865</v>
      </c>
      <c r="Z167" s="485"/>
      <c r="AA167" s="485"/>
      <c r="AB167" s="485"/>
      <c r="AC167" s="485"/>
    </row>
    <row r="168" spans="1:29" s="177" customFormat="1" ht="13.5" thickTop="1" x14ac:dyDescent="0.2"/>
    <row r="169" spans="1:29" s="177" customFormat="1" x14ac:dyDescent="0.2"/>
    <row r="170" spans="1:29" s="177" customFormat="1" x14ac:dyDescent="0.2"/>
    <row r="171" spans="1:29" s="177" customFormat="1" x14ac:dyDescent="0.2"/>
    <row r="172" spans="1:29" s="177" customFormat="1" x14ac:dyDescent="0.2"/>
    <row r="173" spans="1:29" s="177" customFormat="1" x14ac:dyDescent="0.2"/>
    <row r="174" spans="1:29" s="177" customFormat="1" x14ac:dyDescent="0.2"/>
    <row r="175" spans="1:29" s="177" customFormat="1" x14ac:dyDescent="0.2"/>
    <row r="176" spans="1:29" s="177" customFormat="1" x14ac:dyDescent="0.2"/>
    <row r="177" s="177" customFormat="1" x14ac:dyDescent="0.2"/>
    <row r="178" s="177" customFormat="1" x14ac:dyDescent="0.2"/>
    <row r="179" s="177" customFormat="1" x14ac:dyDescent="0.2"/>
    <row r="180" s="177" customFormat="1" x14ac:dyDescent="0.2"/>
    <row r="181" s="177" customFormat="1" x14ac:dyDescent="0.2"/>
    <row r="182" s="177" customFormat="1" x14ac:dyDescent="0.2"/>
    <row r="183" s="177" customFormat="1" x14ac:dyDescent="0.2"/>
    <row r="184" s="177" customFormat="1" x14ac:dyDescent="0.2"/>
    <row r="185" s="177" customFormat="1" x14ac:dyDescent="0.2"/>
    <row r="186" s="177" customFormat="1" x14ac:dyDescent="0.2"/>
    <row r="187" s="177" customFormat="1" x14ac:dyDescent="0.2"/>
    <row r="188" s="177" customFormat="1" x14ac:dyDescent="0.2"/>
    <row r="189" s="177" customFormat="1" x14ac:dyDescent="0.2"/>
    <row r="190" s="177" customFormat="1" x14ac:dyDescent="0.2"/>
    <row r="191" s="177" customFormat="1" x14ac:dyDescent="0.2"/>
    <row r="192" s="177" customFormat="1" x14ac:dyDescent="0.2"/>
    <row r="193" s="177" customFormat="1" x14ac:dyDescent="0.2"/>
    <row r="194" s="177" customFormat="1" x14ac:dyDescent="0.2"/>
    <row r="195" s="177" customFormat="1" x14ac:dyDescent="0.2"/>
    <row r="196" s="177" customFormat="1" x14ac:dyDescent="0.2"/>
    <row r="197" s="177" customFormat="1" x14ac:dyDescent="0.2"/>
    <row r="198" s="177" customFormat="1" x14ac:dyDescent="0.2"/>
    <row r="199" s="177" customFormat="1" x14ac:dyDescent="0.2"/>
    <row r="200" s="177" customFormat="1" x14ac:dyDescent="0.2"/>
    <row r="201" s="177" customFormat="1" x14ac:dyDescent="0.2"/>
    <row r="202" s="177" customFormat="1" x14ac:dyDescent="0.2"/>
    <row r="203" s="177" customFormat="1" x14ac:dyDescent="0.2"/>
    <row r="204" s="177" customFormat="1" x14ac:dyDescent="0.2"/>
    <row r="205" s="177" customFormat="1" x14ac:dyDescent="0.2"/>
    <row r="206" s="177" customFormat="1" x14ac:dyDescent="0.2"/>
    <row r="207" s="177" customFormat="1" x14ac:dyDescent="0.2"/>
    <row r="208" s="177" customFormat="1" x14ac:dyDescent="0.2"/>
    <row r="209" spans="1:29" s="177" customFormat="1" x14ac:dyDescent="0.2"/>
    <row r="210" spans="1:29"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row>
    <row r="211" spans="1:29"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row>
    <row r="212" spans="1:29"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row>
    <row r="213" spans="1:29"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row>
    <row r="214" spans="1:29"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row>
    <row r="215" spans="1:29"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row>
    <row r="216" spans="1:29"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row>
    <row r="217" spans="1:29"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row>
    <row r="218" spans="1:29"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row>
    <row r="219" spans="1:29"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row>
    <row r="220" spans="1:29"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row>
    <row r="221" spans="1:29"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row>
    <row r="222" spans="1:29"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row>
    <row r="223" spans="1:29"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row>
    <row r="224" spans="1:29"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row>
    <row r="225" spans="1:29"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row>
    <row r="226" spans="1:29"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row>
    <row r="227" spans="1:29"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row>
    <row r="228" spans="1:29"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row>
    <row r="229" spans="1:29"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row>
    <row r="230" spans="1:29"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row>
    <row r="231" spans="1:29"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row>
    <row r="232" spans="1:29"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row>
    <row r="233" spans="1:29"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row>
    <row r="234" spans="1:29"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row>
    <row r="235" spans="1:29"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row>
    <row r="236" spans="1:29"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row>
    <row r="237" spans="1:29"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row>
    <row r="238" spans="1:29"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row>
    <row r="239" spans="1:29"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row>
    <row r="240" spans="1:29"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row>
    <row r="241" spans="1:29"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row>
    <row r="242" spans="1:29"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row>
    <row r="243" spans="1:29"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row>
    <row r="244" spans="1:29"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row>
    <row r="245" spans="1:29"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row>
    <row r="246" spans="1:29"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row>
    <row r="247" spans="1:29"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row>
    <row r="248" spans="1:29"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row>
    <row r="249" spans="1:29"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row>
    <row r="250" spans="1:29"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row>
    <row r="251" spans="1:29"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row>
  </sheetData>
  <sheetProtection algorithmName="SHA-512" hashValue="f9H7Reia1XLJWN/xPJHYbcjnKDuRMaTEQWEF0wBDAIihdUirhAPbLILAUITVlyqEcrD/9Sb1+HkoMhdRkPO8jQ==" saltValue="gu7TxgH68AZRXpa5BOFftw=="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12" priority="55" operator="equal">
      <formula>0</formula>
    </cfRule>
  </conditionalFormatting>
  <conditionalFormatting sqref="B63:K67">
    <cfRule type="containsErrors" dxfId="11" priority="62" stopIfTrue="1">
      <formula>ISERROR(B63)</formula>
    </cfRule>
  </conditionalFormatting>
  <conditionalFormatting sqref="D47:M52 D53:H53 D54:M57">
    <cfRule type="cellIs" dxfId="10" priority="59" operator="equal">
      <formula>0</formula>
    </cfRule>
  </conditionalFormatting>
  <conditionalFormatting sqref="G39:X39">
    <cfRule type="containsErrors" dxfId="9" priority="25">
      <formula>ISERROR(G39)</formula>
    </cfRule>
  </conditionalFormatting>
  <conditionalFormatting sqref="H81:M81 Q81:S81 W81:Y81 H82:Y91">
    <cfRule type="cellIs" dxfId="8" priority="58" operator="equal">
      <formula>0</formula>
    </cfRule>
  </conditionalFormatting>
  <conditionalFormatting sqref="I52:M54">
    <cfRule type="containsErrors" dxfId="7" priority="37">
      <formula>ISERROR(I52)</formula>
    </cfRule>
  </conditionalFormatting>
  <conditionalFormatting sqref="I53:M54">
    <cfRule type="cellIs" dxfId="6" priority="5" operator="equal">
      <formula>0</formula>
    </cfRule>
  </conditionalFormatting>
  <conditionalFormatting sqref="J2:L2 P2:AB2 F4:M4">
    <cfRule type="cellIs" dxfId="5" priority="56" operator="equal">
      <formula>0</formula>
    </cfRule>
  </conditionalFormatting>
  <conditionalFormatting sqref="K98:M116 T98:V116">
    <cfRule type="cellIs" dxfId="4" priority="3" operator="equal">
      <formula>0</formula>
    </cfRule>
  </conditionalFormatting>
  <conditionalFormatting sqref="K141:M141 T141:V141">
    <cfRule type="cellIs" dxfId="3" priority="2" operator="equal">
      <formula>0</formula>
    </cfRule>
  </conditionalFormatting>
  <conditionalFormatting sqref="K143:M156 T143:V156">
    <cfRule type="cellIs" dxfId="2" priority="1" operator="equal">
      <formula>0</formula>
    </cfRule>
  </conditionalFormatting>
  <conditionalFormatting sqref="N47:Y57">
    <cfRule type="cellIs" dxfId="1" priority="60" operator="equal">
      <formula>0</formula>
    </cfRule>
  </conditionalFormatting>
  <conditionalFormatting sqref="W50:Y50">
    <cfRule type="cellIs" dxfId="0" priority="4" operator="equal">
      <formula>0</formula>
    </cfRule>
  </conditionalFormatting>
  <dataValidations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7"/>
  <sheetViews>
    <sheetView tabSelected="1" workbookViewId="0">
      <selection activeCell="G50" sqref="G50:AC50"/>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20" hidden="1" customWidth="1"/>
    <col min="56" max="59" width="8.28515625" style="120" hidden="1" customWidth="1"/>
    <col min="60" max="60" width="0.140625" style="120" hidden="1" customWidth="1"/>
    <col min="61" max="61" width="8.28515625" style="120" hidden="1" customWidth="1"/>
    <col min="62" max="62" width="1.7109375" style="120" hidden="1" customWidth="1"/>
    <col min="63" max="63" width="0.140625" style="120" hidden="1" customWidth="1"/>
    <col min="64" max="64" width="8.28515625" style="120" hidden="1" customWidth="1"/>
    <col min="65" max="67" width="8.28515625" style="120" customWidth="1"/>
    <col min="68" max="103" width="9.140625" style="120"/>
  </cols>
  <sheetData>
    <row r="1" spans="1:103" ht="15.75" x14ac:dyDescent="0.25">
      <c r="A1" s="608" t="s">
        <v>135</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Y1"/>
      <c r="AZ1"/>
      <c r="BA1"/>
      <c r="BB1"/>
      <c r="BC1"/>
      <c r="BD1"/>
      <c r="BE1"/>
      <c r="BF1"/>
      <c r="BG1"/>
      <c r="BH1"/>
      <c r="BI1"/>
      <c r="BJ1"/>
      <c r="BK1"/>
    </row>
    <row r="2" spans="1:103" ht="12.6" customHeight="1" x14ac:dyDescent="0.2">
      <c r="A2" s="270" t="s">
        <v>136</v>
      </c>
      <c r="B2" s="270"/>
      <c r="C2" s="270"/>
      <c r="D2" s="270"/>
      <c r="E2" s="270"/>
      <c r="F2" s="270"/>
      <c r="G2" s="619"/>
      <c r="H2" s="619"/>
      <c r="I2" s="619"/>
      <c r="J2" s="619"/>
      <c r="K2" s="619"/>
      <c r="L2" s="619"/>
      <c r="M2" s="619"/>
      <c r="N2" s="619"/>
      <c r="O2" s="619"/>
      <c r="P2" s="270" t="s">
        <v>137</v>
      </c>
      <c r="Q2" s="270"/>
      <c r="R2" s="270"/>
      <c r="S2" s="270"/>
      <c r="T2" s="270"/>
      <c r="U2" s="270"/>
      <c r="V2" s="619"/>
      <c r="W2" s="619"/>
      <c r="X2" s="619"/>
      <c r="Y2" s="619"/>
      <c r="Z2" s="619"/>
      <c r="AA2" s="619"/>
      <c r="AB2" s="619"/>
      <c r="AC2" s="619"/>
      <c r="AY2"/>
      <c r="AZ2"/>
      <c r="BA2"/>
      <c r="BB2"/>
      <c r="BC2"/>
      <c r="BD2"/>
      <c r="BE2"/>
      <c r="BF2"/>
      <c r="BG2"/>
      <c r="BH2"/>
      <c r="BI2"/>
      <c r="BJ2"/>
      <c r="BK2"/>
    </row>
    <row r="3" spans="1:103" ht="12.6" customHeight="1" thickBot="1" x14ac:dyDescent="0.25">
      <c r="A3" s="270" t="s">
        <v>138</v>
      </c>
      <c r="B3" s="270"/>
      <c r="C3" s="270"/>
      <c r="D3" s="270"/>
      <c r="E3" s="270"/>
      <c r="F3" s="270"/>
      <c r="G3" s="619"/>
      <c r="H3" s="619"/>
      <c r="I3" s="619"/>
      <c r="J3" s="619"/>
      <c r="K3" s="619"/>
      <c r="L3" s="619"/>
      <c r="M3" s="619"/>
      <c r="N3" s="619"/>
      <c r="O3" s="619"/>
      <c r="P3" s="615" t="s">
        <v>139</v>
      </c>
      <c r="Q3" s="615"/>
      <c r="R3" s="615"/>
      <c r="S3" s="615"/>
      <c r="T3" s="615"/>
      <c r="U3" s="615"/>
      <c r="V3" s="620"/>
      <c r="W3" s="620"/>
      <c r="X3" s="620"/>
      <c r="Y3" s="620"/>
      <c r="Z3" s="620"/>
      <c r="AA3" s="620"/>
      <c r="AB3" s="620"/>
      <c r="AC3" s="620"/>
      <c r="AQ3" s="25" t="s">
        <v>140</v>
      </c>
      <c r="AR3" s="23" t="str">
        <f>G6&amp;L6</f>
        <v>Mix ID Required</v>
      </c>
      <c r="AY3"/>
      <c r="AZ3"/>
      <c r="BA3"/>
      <c r="BB3"/>
      <c r="BC3"/>
      <c r="BD3"/>
      <c r="BE3"/>
      <c r="BF3"/>
      <c r="BG3"/>
      <c r="BH3"/>
      <c r="BI3"/>
      <c r="BJ3"/>
      <c r="BK3"/>
    </row>
    <row r="4" spans="1:103" ht="12.6" customHeight="1" thickBot="1" x14ac:dyDescent="0.25">
      <c r="A4" s="270" t="s">
        <v>141</v>
      </c>
      <c r="B4" s="270"/>
      <c r="C4" s="270"/>
      <c r="D4" s="270"/>
      <c r="E4" s="270"/>
      <c r="F4" s="270"/>
      <c r="G4" s="625"/>
      <c r="H4" s="625"/>
      <c r="I4" s="625"/>
      <c r="J4" s="625"/>
      <c r="K4" s="625"/>
      <c r="L4" s="625"/>
      <c r="M4" s="625"/>
      <c r="N4" s="625"/>
      <c r="O4" s="625"/>
      <c r="P4" s="270" t="s">
        <v>142</v>
      </c>
      <c r="Q4" s="270"/>
      <c r="R4" s="270"/>
      <c r="S4" s="270"/>
      <c r="T4" s="270"/>
      <c r="U4" s="270"/>
      <c r="V4" s="569"/>
      <c r="W4" s="569"/>
      <c r="X4" s="569"/>
      <c r="Y4" s="569"/>
      <c r="Z4" s="569"/>
      <c r="AA4" s="569"/>
      <c r="AB4" s="569"/>
      <c r="AC4" s="621"/>
      <c r="AG4" s="5" t="s">
        <v>143</v>
      </c>
      <c r="AQ4" s="25" t="s">
        <v>144</v>
      </c>
      <c r="AR4" s="23" t="str">
        <f>V6</f>
        <v>501 QC/QA PCCP</v>
      </c>
      <c r="AY4"/>
      <c r="AZ4"/>
      <c r="BA4"/>
      <c r="BB4"/>
      <c r="BC4"/>
      <c r="BD4"/>
      <c r="BE4"/>
      <c r="BF4"/>
      <c r="BG4"/>
      <c r="BH4"/>
      <c r="BI4"/>
      <c r="BJ4"/>
      <c r="BK4"/>
    </row>
    <row r="5" spans="1:103" ht="12.6" customHeight="1" thickBot="1" x14ac:dyDescent="0.25">
      <c r="A5" s="270" t="s">
        <v>145</v>
      </c>
      <c r="B5" s="270"/>
      <c r="C5" s="270"/>
      <c r="D5" s="270"/>
      <c r="E5" s="270"/>
      <c r="F5" s="270"/>
      <c r="G5" s="625"/>
      <c r="H5" s="625"/>
      <c r="I5" s="625"/>
      <c r="J5" s="625"/>
      <c r="K5" s="625"/>
      <c r="L5" s="625"/>
      <c r="M5" s="625"/>
      <c r="N5" s="625"/>
      <c r="O5" s="625"/>
      <c r="P5" s="324" t="s">
        <v>146</v>
      </c>
      <c r="Q5" s="324"/>
      <c r="R5" s="324"/>
      <c r="S5" s="324"/>
      <c r="T5" s="324"/>
      <c r="U5" s="324"/>
      <c r="V5" s="626" t="s">
        <v>1831</v>
      </c>
      <c r="W5" s="626"/>
      <c r="X5" s="626"/>
      <c r="Y5" s="626"/>
      <c r="Z5" s="626"/>
      <c r="AA5" s="626"/>
      <c r="AB5" s="626"/>
      <c r="AC5" s="626"/>
      <c r="AD5" s="5"/>
      <c r="AG5" s="5" t="s">
        <v>147</v>
      </c>
      <c r="AQ5" s="25" t="s">
        <v>136</v>
      </c>
      <c r="AR5" s="29">
        <f>G2</f>
        <v>0</v>
      </c>
      <c r="AY5"/>
      <c r="AZ5"/>
      <c r="BA5"/>
      <c r="BB5"/>
      <c r="BC5"/>
      <c r="BD5"/>
      <c r="BE5"/>
      <c r="BF5"/>
      <c r="BG5"/>
      <c r="BH5"/>
      <c r="BI5"/>
      <c r="BJ5"/>
      <c r="BK5"/>
    </row>
    <row r="6" spans="1:103" ht="15.75" customHeight="1" x14ac:dyDescent="0.2">
      <c r="A6" s="614" t="s">
        <v>148</v>
      </c>
      <c r="B6" s="522"/>
      <c r="C6" s="522"/>
      <c r="D6" s="522"/>
      <c r="E6" s="522"/>
      <c r="F6" s="522"/>
      <c r="G6" s="627" t="str">
        <f>IF(OR(V6="305 Base Patching",V6="501 QC/QA PCCP",V6="502 Standard Strength",V6="502 High Early Strength",V6="502 High Early Strength Modified",V6="506 Full Depth",V6="506 Partial Depth",V6="706 Moment Slab",V6="722 Silica Fume Overlay",V6="728 Drilled Shaft",V6=""),"Mix ID Required","Mix ID Not Required")</f>
        <v>Mix ID Required</v>
      </c>
      <c r="H6" s="522"/>
      <c r="I6" s="522"/>
      <c r="J6" s="522"/>
      <c r="K6" s="522"/>
      <c r="L6" s="381"/>
      <c r="M6" s="381"/>
      <c r="N6" s="382"/>
      <c r="O6" s="614" t="s">
        <v>149</v>
      </c>
      <c r="P6" s="522"/>
      <c r="Q6" s="522"/>
      <c r="R6" s="522"/>
      <c r="S6" s="522"/>
      <c r="T6" s="522"/>
      <c r="U6" s="522"/>
      <c r="V6" s="628" t="s">
        <v>147</v>
      </c>
      <c r="W6" s="628"/>
      <c r="X6" s="628"/>
      <c r="Y6" s="628"/>
      <c r="Z6" s="628"/>
      <c r="AA6" s="628"/>
      <c r="AB6" s="628"/>
      <c r="AC6" s="629"/>
      <c r="AG6" s="5" t="s">
        <v>151</v>
      </c>
      <c r="AQ6" s="26" t="s">
        <v>152</v>
      </c>
      <c r="AR6" s="29">
        <f>G5</f>
        <v>0</v>
      </c>
      <c r="AY6" s="5" t="s">
        <v>153</v>
      </c>
      <c r="AZ6"/>
      <c r="BA6"/>
      <c r="BB6"/>
      <c r="BC6"/>
      <c r="BD6"/>
      <c r="BE6"/>
      <c r="BF6"/>
      <c r="BG6"/>
      <c r="BH6"/>
      <c r="BI6"/>
      <c r="BJ6"/>
      <c r="BK6"/>
    </row>
    <row r="7" spans="1:103" ht="28.5" customHeight="1" x14ac:dyDescent="0.2">
      <c r="A7" s="622" t="s">
        <v>154</v>
      </c>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111"/>
      <c r="AG7" s="5" t="s">
        <v>155</v>
      </c>
      <c r="AQ7" s="26" t="s">
        <v>138</v>
      </c>
      <c r="AR7" s="29">
        <f>G3</f>
        <v>0</v>
      </c>
      <c r="AY7"/>
      <c r="AZ7"/>
      <c r="BA7"/>
      <c r="BB7"/>
      <c r="BC7"/>
      <c r="BD7"/>
      <c r="BE7"/>
      <c r="BF7"/>
      <c r="BG7"/>
      <c r="BH7"/>
      <c r="BI7"/>
      <c r="BJ7"/>
      <c r="BK7"/>
    </row>
    <row r="8" spans="1:103" ht="58.5" customHeight="1" thickBot="1" x14ac:dyDescent="0.25">
      <c r="A8" s="427" t="s">
        <v>156</v>
      </c>
      <c r="B8" s="250"/>
      <c r="C8" s="250"/>
      <c r="D8" s="650" t="s">
        <v>157</v>
      </c>
      <c r="E8" s="651"/>
      <c r="F8" s="651"/>
      <c r="G8" s="651"/>
      <c r="H8" s="651"/>
      <c r="I8" s="651"/>
      <c r="J8" s="651"/>
      <c r="K8" s="651"/>
      <c r="L8" s="651"/>
      <c r="M8" s="651"/>
      <c r="N8" s="651"/>
      <c r="O8" s="652"/>
      <c r="P8" s="653" t="s">
        <v>158</v>
      </c>
      <c r="Q8" s="654"/>
      <c r="R8" s="655"/>
      <c r="S8" s="250" t="s">
        <v>159</v>
      </c>
      <c r="T8" s="250"/>
      <c r="U8" s="250"/>
      <c r="V8" s="250" t="s">
        <v>160</v>
      </c>
      <c r="W8" s="250"/>
      <c r="X8" s="250"/>
      <c r="Y8" s="250" t="s">
        <v>161</v>
      </c>
      <c r="Z8" s="250"/>
      <c r="AA8" s="427" t="s">
        <v>162</v>
      </c>
      <c r="AB8" s="427"/>
      <c r="AC8" s="427"/>
      <c r="AG8" s="5" t="s">
        <v>163</v>
      </c>
      <c r="AP8" s="35"/>
      <c r="AQ8" s="24" t="s">
        <v>164</v>
      </c>
      <c r="AR8" s="29">
        <f>V2</f>
        <v>0</v>
      </c>
      <c r="AY8"/>
      <c r="AZ8"/>
      <c r="BA8"/>
      <c r="BB8"/>
      <c r="BC8"/>
      <c r="BD8"/>
      <c r="BE8"/>
      <c r="BF8"/>
      <c r="BG8"/>
      <c r="BH8"/>
      <c r="BI8"/>
      <c r="BJ8"/>
      <c r="BK8"/>
    </row>
    <row r="9" spans="1:103" ht="12.6" customHeight="1" thickBot="1" x14ac:dyDescent="0.25">
      <c r="A9" s="504" t="e">
        <f>VLOOKUP(D9,'AGG SOURCES'!A1:D292,2,FALSE)</f>
        <v>#N/A</v>
      </c>
      <c r="B9" s="502"/>
      <c r="C9" s="502"/>
      <c r="D9" s="690"/>
      <c r="E9" s="691"/>
      <c r="F9" s="691"/>
      <c r="G9" s="691"/>
      <c r="H9" s="691"/>
      <c r="I9" s="691"/>
      <c r="J9" s="691"/>
      <c r="K9" s="691"/>
      <c r="L9" s="691"/>
      <c r="M9" s="691"/>
      <c r="N9" s="691"/>
      <c r="O9" s="692"/>
      <c r="P9" s="699"/>
      <c r="Q9" s="700"/>
      <c r="R9" s="701"/>
      <c r="S9" s="617"/>
      <c r="T9" s="617"/>
      <c r="U9" s="617"/>
      <c r="V9" s="617"/>
      <c r="W9" s="617"/>
      <c r="X9" s="617"/>
      <c r="Y9" s="617"/>
      <c r="Z9" s="617"/>
      <c r="AA9" s="612"/>
      <c r="AB9" s="612"/>
      <c r="AC9" s="613"/>
      <c r="AG9" s="5" t="s">
        <v>165</v>
      </c>
      <c r="AQ9" s="24" t="s">
        <v>166</v>
      </c>
      <c r="AR9" s="23">
        <f>V3</f>
        <v>0</v>
      </c>
      <c r="AY9"/>
      <c r="AZ9"/>
      <c r="BA9"/>
      <c r="BB9"/>
      <c r="BC9"/>
      <c r="BD9"/>
      <c r="BE9"/>
      <c r="BF9"/>
      <c r="BG9"/>
      <c r="BH9"/>
      <c r="BI9"/>
      <c r="BJ9"/>
      <c r="BK9"/>
    </row>
    <row r="10" spans="1:103" ht="12.6" customHeight="1" thickBot="1" x14ac:dyDescent="0.25">
      <c r="A10" s="504" t="e">
        <f>VLOOKUP(D10,'AGG SOURCES'!A1:D292,2,FALSE)</f>
        <v>#N/A</v>
      </c>
      <c r="B10" s="502"/>
      <c r="C10" s="502"/>
      <c r="D10" s="690"/>
      <c r="E10" s="691"/>
      <c r="F10" s="691"/>
      <c r="G10" s="691"/>
      <c r="H10" s="691"/>
      <c r="I10" s="691"/>
      <c r="J10" s="691"/>
      <c r="K10" s="691"/>
      <c r="L10" s="691"/>
      <c r="M10" s="691"/>
      <c r="N10" s="691"/>
      <c r="O10" s="692"/>
      <c r="P10" s="699"/>
      <c r="Q10" s="700"/>
      <c r="R10" s="701"/>
      <c r="S10" s="617"/>
      <c r="T10" s="617"/>
      <c r="U10" s="617"/>
      <c r="V10" s="617"/>
      <c r="W10" s="617"/>
      <c r="X10" s="617"/>
      <c r="Y10" s="617"/>
      <c r="Z10" s="617"/>
      <c r="AA10" s="612"/>
      <c r="AB10" s="612"/>
      <c r="AC10" s="613"/>
      <c r="AG10" s="5" t="s">
        <v>167</v>
      </c>
      <c r="AQ10" s="24" t="s">
        <v>142</v>
      </c>
      <c r="AR10" s="23">
        <f>V4</f>
        <v>0</v>
      </c>
      <c r="AY10"/>
      <c r="AZ10"/>
      <c r="BA10"/>
      <c r="BB10"/>
      <c r="BC10"/>
      <c r="BD10"/>
      <c r="BE10"/>
      <c r="BF10"/>
      <c r="BG10"/>
      <c r="BH10"/>
      <c r="BI10"/>
      <c r="BJ10"/>
      <c r="BK10"/>
    </row>
    <row r="11" spans="1:103" ht="12.6" customHeight="1" thickBot="1" x14ac:dyDescent="0.25">
      <c r="A11" s="504" t="e">
        <f>VLOOKUP(D11,'AGG SOURCES'!A1:D292,2,FALSE)</f>
        <v>#N/A</v>
      </c>
      <c r="B11" s="502"/>
      <c r="C11" s="502"/>
      <c r="D11" s="690"/>
      <c r="E11" s="691"/>
      <c r="F11" s="691"/>
      <c r="G11" s="691"/>
      <c r="H11" s="691"/>
      <c r="I11" s="691"/>
      <c r="J11" s="691"/>
      <c r="K11" s="691"/>
      <c r="L11" s="691"/>
      <c r="M11" s="691"/>
      <c r="N11" s="691"/>
      <c r="O11" s="692"/>
      <c r="P11" s="702"/>
      <c r="Q11" s="703"/>
      <c r="R11" s="704"/>
      <c r="S11" s="524"/>
      <c r="T11" s="524"/>
      <c r="U11" s="525"/>
      <c r="V11" s="618"/>
      <c r="W11" s="618"/>
      <c r="X11" s="618"/>
      <c r="Y11" s="618"/>
      <c r="Z11" s="618"/>
      <c r="AA11" s="616"/>
      <c r="AB11" s="616"/>
      <c r="AC11" s="616"/>
      <c r="AG11" s="5" t="s">
        <v>168</v>
      </c>
      <c r="AQ11" s="27" t="s">
        <v>169</v>
      </c>
      <c r="AR11" s="126" t="e">
        <f>A9</f>
        <v>#N/A</v>
      </c>
      <c r="AY11"/>
      <c r="AZ11"/>
      <c r="BA11"/>
      <c r="BB11"/>
      <c r="BC11"/>
      <c r="BD11"/>
      <c r="BE11"/>
      <c r="BF11"/>
      <c r="BG11"/>
      <c r="BH11"/>
      <c r="BI11"/>
      <c r="BJ11"/>
      <c r="BK11"/>
    </row>
    <row r="12" spans="1:103" ht="12.6" customHeight="1" thickBot="1" x14ac:dyDescent="0.3">
      <c r="A12" s="615" t="str">
        <f>IF(AND(S42="*** % Passing 1 inch sieve",OR(S9="QA",S10="QA",S11="QA")), "*** % Passing 1 inch sieve for QA size CA"," ")</f>
        <v xml:space="preserve"> </v>
      </c>
      <c r="B12" s="615"/>
      <c r="C12" s="615"/>
      <c r="D12" s="615"/>
      <c r="E12" s="615"/>
      <c r="F12" s="615"/>
      <c r="G12" s="615"/>
      <c r="H12" s="615"/>
      <c r="I12" s="615"/>
      <c r="J12" s="615"/>
      <c r="K12" s="686"/>
      <c r="L12" s="686"/>
      <c r="M12" s="615" t="str">
        <f>IF(V6="501 QC/QA PCCP","*% passing No. 200 sieve"," ")</f>
        <v>*% passing No. 200 sieve</v>
      </c>
      <c r="N12" s="615"/>
      <c r="O12" s="615"/>
      <c r="P12" s="615"/>
      <c r="Q12" s="615"/>
      <c r="R12" s="615"/>
      <c r="S12" s="615" t="str">
        <f>IF(OR(V6="501 QC/QA PCCP",V6="730*"),", CA contributes"," ")</f>
        <v>, CA contributes</v>
      </c>
      <c r="T12" s="615"/>
      <c r="U12" s="615"/>
      <c r="V12" s="615"/>
      <c r="W12" s="19"/>
      <c r="X12" s="615" t="str">
        <f>IF(V6="501 QC/QA PCCP","  FA contributes"," ")</f>
        <v xml:space="preserve">  FA contributes</v>
      </c>
      <c r="Y12" s="615"/>
      <c r="Z12" s="615"/>
      <c r="AA12" s="615"/>
      <c r="AB12" s="670"/>
      <c r="AC12" s="670"/>
      <c r="AG12" s="186" t="s">
        <v>170</v>
      </c>
      <c r="AQ12" s="27" t="s">
        <v>171</v>
      </c>
      <c r="AR12" s="33">
        <f>D9</f>
        <v>0</v>
      </c>
      <c r="AY12"/>
      <c r="AZ12"/>
      <c r="BA12"/>
      <c r="BB12"/>
      <c r="BC12"/>
      <c r="BD12"/>
      <c r="BE12"/>
      <c r="BF12"/>
      <c r="BG12"/>
      <c r="BH12"/>
      <c r="BI12"/>
      <c r="BJ12"/>
      <c r="BK12"/>
    </row>
    <row r="13" spans="1:103" ht="18" customHeight="1" thickBot="1" x14ac:dyDescent="0.3">
      <c r="A13" s="609" t="s">
        <v>172</v>
      </c>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1"/>
      <c r="AA13" s="705" t="s">
        <v>173</v>
      </c>
      <c r="AB13" s="706"/>
      <c r="AC13" s="707"/>
      <c r="AG13" s="186" t="s">
        <v>174</v>
      </c>
      <c r="AQ13" s="27" t="s">
        <v>175</v>
      </c>
      <c r="AR13" s="23">
        <f>S9</f>
        <v>0</v>
      </c>
      <c r="AY13"/>
      <c r="AZ13"/>
      <c r="BA13"/>
      <c r="BB13"/>
      <c r="BC13"/>
      <c r="BD13"/>
      <c r="BE13"/>
      <c r="BF13"/>
      <c r="BG13"/>
      <c r="BH13"/>
      <c r="BI13"/>
      <c r="BJ13"/>
      <c r="BK13"/>
    </row>
    <row r="14" spans="1:103" ht="16.5" customHeight="1" thickTop="1" thickBot="1" x14ac:dyDescent="0.25">
      <c r="A14" s="687" t="s">
        <v>176</v>
      </c>
      <c r="B14" s="688"/>
      <c r="C14" s="689"/>
      <c r="D14" s="718" t="s">
        <v>177</v>
      </c>
      <c r="E14" s="688"/>
      <c r="F14" s="688"/>
      <c r="G14" s="688"/>
      <c r="H14" s="688"/>
      <c r="I14" s="688"/>
      <c r="J14" s="688"/>
      <c r="K14" s="688"/>
      <c r="L14" s="688"/>
      <c r="M14" s="688"/>
      <c r="N14" s="688"/>
      <c r="O14" s="688"/>
      <c r="P14" s="688"/>
      <c r="Q14" s="688"/>
      <c r="R14" s="688"/>
      <c r="S14" s="688"/>
      <c r="T14" s="689"/>
      <c r="U14" s="272" t="s">
        <v>178</v>
      </c>
      <c r="V14" s="273"/>
      <c r="W14" s="273"/>
      <c r="X14" s="273"/>
      <c r="Y14" s="300"/>
      <c r="Z14" s="1"/>
      <c r="AA14" s="639" t="s">
        <v>179</v>
      </c>
      <c r="AB14" s="640"/>
      <c r="AC14" s="641"/>
      <c r="AG14" s="5" t="s">
        <v>180</v>
      </c>
      <c r="AQ14" s="28" t="s">
        <v>181</v>
      </c>
      <c r="AR14" s="23">
        <f>V9</f>
        <v>0</v>
      </c>
      <c r="AY14"/>
      <c r="AZ14"/>
      <c r="BA14"/>
      <c r="BB14"/>
      <c r="BC14"/>
      <c r="BD14"/>
      <c r="BE14"/>
      <c r="BF14"/>
      <c r="BG14"/>
      <c r="BH14"/>
      <c r="BI14"/>
      <c r="BJ14"/>
      <c r="BK14"/>
    </row>
    <row r="15" spans="1:103" s="35" customFormat="1" ht="12.6" customHeight="1" thickBot="1" x14ac:dyDescent="0.25">
      <c r="A15" s="656" t="e">
        <f>VLOOKUP(D15,'CEMENT &amp; POZZOLAN SOURCES'!A1:B85,2,FALSE)</f>
        <v>#N/A</v>
      </c>
      <c r="B15" s="657"/>
      <c r="C15" s="658"/>
      <c r="D15" s="659"/>
      <c r="E15" s="660"/>
      <c r="F15" s="660"/>
      <c r="G15" s="660"/>
      <c r="H15" s="660"/>
      <c r="I15" s="660"/>
      <c r="J15" s="660"/>
      <c r="K15" s="660"/>
      <c r="L15" s="660"/>
      <c r="M15" s="660"/>
      <c r="N15" s="660"/>
      <c r="O15" s="660"/>
      <c r="P15" s="660"/>
      <c r="Q15" s="660"/>
      <c r="R15" s="660"/>
      <c r="S15" s="660"/>
      <c r="T15" s="661"/>
      <c r="U15" s="642"/>
      <c r="V15" s="642"/>
      <c r="W15" s="642"/>
      <c r="X15" s="642"/>
      <c r="Y15" s="643"/>
      <c r="AA15" s="633"/>
      <c r="AB15" s="634"/>
      <c r="AC15" s="635"/>
      <c r="AG15" s="5" t="s">
        <v>184</v>
      </c>
      <c r="AJ15"/>
      <c r="AK15"/>
      <c r="AL15"/>
      <c r="AM15"/>
      <c r="AN15"/>
      <c r="AO15"/>
      <c r="AP15"/>
      <c r="AQ15" s="36" t="s">
        <v>185</v>
      </c>
      <c r="AR15" s="37">
        <f>Y9</f>
        <v>0</v>
      </c>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row>
    <row r="16" spans="1:103" s="35" customFormat="1" ht="12.6" customHeight="1" thickBot="1" x14ac:dyDescent="0.25">
      <c r="A16" s="656" t="e">
        <f>VLOOKUP(D16,'CEMENT &amp; POZZOLAN SOURCES'!A1:B85,2,FALSE)</f>
        <v>#N/A</v>
      </c>
      <c r="B16" s="657"/>
      <c r="C16" s="658"/>
      <c r="D16" s="659"/>
      <c r="E16" s="660"/>
      <c r="F16" s="660"/>
      <c r="G16" s="660"/>
      <c r="H16" s="660"/>
      <c r="I16" s="660"/>
      <c r="J16" s="660"/>
      <c r="K16" s="660"/>
      <c r="L16" s="660"/>
      <c r="M16" s="660"/>
      <c r="N16" s="660"/>
      <c r="O16" s="660"/>
      <c r="P16" s="660"/>
      <c r="Q16" s="660"/>
      <c r="R16" s="660"/>
      <c r="S16" s="660"/>
      <c r="T16" s="661"/>
      <c r="U16" s="642"/>
      <c r="V16" s="642"/>
      <c r="W16" s="642"/>
      <c r="X16" s="642"/>
      <c r="Y16" s="643"/>
      <c r="AA16" s="639" t="s">
        <v>186</v>
      </c>
      <c r="AB16" s="640"/>
      <c r="AC16" s="641"/>
      <c r="AG16" s="5" t="s">
        <v>150</v>
      </c>
      <c r="AQ16" s="36" t="s">
        <v>187</v>
      </c>
      <c r="AR16" s="38">
        <f>AA9</f>
        <v>0</v>
      </c>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row>
    <row r="17" spans="1:103" s="35" customFormat="1" ht="12.6" customHeight="1" thickBot="1" x14ac:dyDescent="0.25">
      <c r="A17" s="662" t="e">
        <f>VLOOKUP(D17,'CEMENT &amp; POZZOLAN SOURCES'!A1:B85,2,FALSE)</f>
        <v>#N/A</v>
      </c>
      <c r="B17" s="663"/>
      <c r="C17" s="664"/>
      <c r="D17" s="659"/>
      <c r="E17" s="660"/>
      <c r="F17" s="660"/>
      <c r="G17" s="660"/>
      <c r="H17" s="660"/>
      <c r="I17" s="660"/>
      <c r="J17" s="660"/>
      <c r="K17" s="660"/>
      <c r="L17" s="660"/>
      <c r="M17" s="660"/>
      <c r="N17" s="660"/>
      <c r="O17" s="660"/>
      <c r="P17" s="660"/>
      <c r="Q17" s="660"/>
      <c r="R17" s="660"/>
      <c r="S17" s="660"/>
      <c r="T17" s="661"/>
      <c r="U17" s="642"/>
      <c r="V17" s="642"/>
      <c r="W17" s="642"/>
      <c r="X17" s="642"/>
      <c r="Y17" s="643"/>
      <c r="Z17" s="122"/>
      <c r="AA17" s="636"/>
      <c r="AB17" s="637"/>
      <c r="AC17" s="638"/>
      <c r="AG17" s="5" t="s">
        <v>188</v>
      </c>
      <c r="AQ17" s="39" t="s">
        <v>189</v>
      </c>
      <c r="AR17" s="128" t="e">
        <f>A10</f>
        <v>#N/A</v>
      </c>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row>
    <row r="18" spans="1:103" ht="27" customHeight="1" thickBot="1" x14ac:dyDescent="0.25">
      <c r="A18" s="681" t="s">
        <v>190</v>
      </c>
      <c r="B18" s="682"/>
      <c r="C18" s="682"/>
      <c r="D18" s="683"/>
      <c r="E18" s="683"/>
      <c r="F18" s="683"/>
      <c r="G18" s="683"/>
      <c r="H18" s="683"/>
      <c r="I18" s="683"/>
      <c r="J18" s="683"/>
      <c r="K18" s="683"/>
      <c r="L18" s="683"/>
      <c r="M18" s="683"/>
      <c r="N18" s="683"/>
      <c r="O18" s="683"/>
      <c r="P18" s="683"/>
      <c r="Q18" s="683"/>
      <c r="R18" s="683"/>
      <c r="S18" s="683"/>
      <c r="T18" s="683"/>
      <c r="U18" s="683"/>
      <c r="V18" s="683"/>
      <c r="W18" s="683"/>
      <c r="X18" s="683"/>
      <c r="Y18" s="683"/>
      <c r="Z18" s="682"/>
      <c r="AA18" s="683"/>
      <c r="AB18" s="683"/>
      <c r="AC18" s="684"/>
      <c r="AI18" s="35"/>
      <c r="AJ18" s="35"/>
      <c r="AK18" s="35"/>
      <c r="AL18" s="35"/>
      <c r="AM18" s="35"/>
      <c r="AN18" s="35"/>
      <c r="AO18" s="35"/>
      <c r="AQ18" s="27" t="s">
        <v>191</v>
      </c>
      <c r="AR18" s="33">
        <f>D10</f>
        <v>0</v>
      </c>
      <c r="AY18"/>
      <c r="AZ18"/>
      <c r="BA18"/>
      <c r="BB18"/>
      <c r="BC18"/>
      <c r="BD18"/>
      <c r="BE18"/>
      <c r="BF18"/>
      <c r="BG18"/>
      <c r="BH18"/>
      <c r="BI18"/>
      <c r="BJ18"/>
      <c r="BK18"/>
    </row>
    <row r="19" spans="1:103" ht="18" customHeight="1" thickTop="1" thickBot="1" x14ac:dyDescent="0.25">
      <c r="A19" s="685" t="s">
        <v>192</v>
      </c>
      <c r="B19" s="248"/>
      <c r="C19" s="248"/>
      <c r="D19" s="272" t="s">
        <v>193</v>
      </c>
      <c r="E19" s="273"/>
      <c r="F19" s="273"/>
      <c r="G19" s="273"/>
      <c r="H19" s="273"/>
      <c r="I19" s="273"/>
      <c r="J19" s="273"/>
      <c r="K19" s="273"/>
      <c r="L19" s="273"/>
      <c r="M19" s="272" t="s">
        <v>194</v>
      </c>
      <c r="N19" s="273"/>
      <c r="O19" s="273"/>
      <c r="P19" s="273"/>
      <c r="Q19" s="273"/>
      <c r="R19" s="273"/>
      <c r="S19" s="273"/>
      <c r="T19" s="345"/>
      <c r="U19" s="248" t="s">
        <v>160</v>
      </c>
      <c r="V19" s="248"/>
      <c r="W19" s="248"/>
      <c r="X19" s="666" t="s">
        <v>195</v>
      </c>
      <c r="Y19" s="248"/>
      <c r="Z19" s="248"/>
      <c r="AA19" s="248"/>
      <c r="AB19" s="248"/>
      <c r="AC19" s="667"/>
      <c r="AD19" s="14"/>
      <c r="AG19" s="35" t="s">
        <v>183</v>
      </c>
      <c r="AQ19" s="27" t="s">
        <v>196</v>
      </c>
      <c r="AR19" s="23">
        <f>S10</f>
        <v>0</v>
      </c>
      <c r="AY19"/>
      <c r="AZ19"/>
      <c r="BA19"/>
      <c r="BB19"/>
      <c r="BC19"/>
      <c r="BD19"/>
      <c r="BE19"/>
      <c r="BF19"/>
      <c r="BG19"/>
      <c r="BH19"/>
      <c r="BI19"/>
      <c r="BJ19"/>
      <c r="BK19"/>
    </row>
    <row r="20" spans="1:103" ht="13.5" customHeight="1" thickBot="1" x14ac:dyDescent="0.25">
      <c r="A20" s="495" t="e">
        <f>VLOOKUP(M20,ADMIXTURES!A1:F289,2,FALSE)</f>
        <v>#N/A</v>
      </c>
      <c r="B20" s="496"/>
      <c r="C20" s="496"/>
      <c r="D20" s="497" t="e">
        <f>VLOOKUP(M20,ADMIXTURES!A1:F289,4,FALSE)</f>
        <v>#N/A</v>
      </c>
      <c r="E20" s="498"/>
      <c r="F20" s="498"/>
      <c r="G20" s="498"/>
      <c r="H20" s="498"/>
      <c r="I20" s="498"/>
      <c r="J20" s="498"/>
      <c r="K20" s="498"/>
      <c r="L20" s="498"/>
      <c r="M20" s="499"/>
      <c r="N20" s="500"/>
      <c r="O20" s="500"/>
      <c r="P20" s="500"/>
      <c r="Q20" s="500"/>
      <c r="R20" s="500"/>
      <c r="S20" s="500"/>
      <c r="T20" s="501"/>
      <c r="U20" s="504" t="e">
        <f>VLOOKUP(M20,ADMIXTURES!A1:F289,5,FALSE)</f>
        <v>#N/A</v>
      </c>
      <c r="V20" s="502"/>
      <c r="W20" s="502"/>
      <c r="X20" s="434" t="e">
        <f>VLOOKUP(M20,ADMIXTURES!A1:F289,6,FALSE)</f>
        <v>#N/A</v>
      </c>
      <c r="Y20" s="502"/>
      <c r="Z20" s="502"/>
      <c r="AA20" s="502"/>
      <c r="AB20" s="502"/>
      <c r="AC20" s="503"/>
      <c r="AD20" s="52"/>
      <c r="AE20" s="66"/>
      <c r="AF20" s="66"/>
      <c r="AG20" s="35" t="s">
        <v>198</v>
      </c>
      <c r="AH20" s="66"/>
      <c r="AQ20" s="28" t="s">
        <v>199</v>
      </c>
      <c r="AR20" s="23">
        <f>V10</f>
        <v>0</v>
      </c>
      <c r="AY20"/>
      <c r="AZ20"/>
      <c r="BA20"/>
      <c r="BB20"/>
      <c r="BC20"/>
      <c r="BD20"/>
      <c r="BE20"/>
      <c r="BF20"/>
      <c r="BG20"/>
      <c r="BH20"/>
      <c r="BI20"/>
      <c r="BJ20"/>
      <c r="BK20"/>
    </row>
    <row r="21" spans="1:103" ht="12.6" customHeight="1" thickBot="1" x14ac:dyDescent="0.25">
      <c r="A21" s="495" t="e">
        <f>VLOOKUP(M21,ADMIXTURES!A1:F289,2,FALSE)</f>
        <v>#N/A</v>
      </c>
      <c r="B21" s="496"/>
      <c r="C21" s="496"/>
      <c r="D21" s="497" t="e">
        <f>VLOOKUP(M21,ADMIXTURES!A1:F289,4,FALSE)</f>
        <v>#N/A</v>
      </c>
      <c r="E21" s="498"/>
      <c r="F21" s="498"/>
      <c r="G21" s="498"/>
      <c r="H21" s="498"/>
      <c r="I21" s="498"/>
      <c r="J21" s="498"/>
      <c r="K21" s="498"/>
      <c r="L21" s="498"/>
      <c r="M21" s="499"/>
      <c r="N21" s="500"/>
      <c r="O21" s="500"/>
      <c r="P21" s="500"/>
      <c r="Q21" s="500"/>
      <c r="R21" s="500"/>
      <c r="S21" s="500"/>
      <c r="T21" s="501"/>
      <c r="U21" s="504" t="e">
        <f>VLOOKUP(M21,ADMIXTURES!A1:F289,5,FALSE)</f>
        <v>#N/A</v>
      </c>
      <c r="V21" s="502"/>
      <c r="W21" s="502"/>
      <c r="X21" s="434" t="e">
        <f>VLOOKUP(M21,ADMIXTURES!A1:F289,6,FALSE)</f>
        <v>#N/A</v>
      </c>
      <c r="Y21" s="502"/>
      <c r="Z21" s="502"/>
      <c r="AA21" s="502"/>
      <c r="AB21" s="502"/>
      <c r="AC21" s="503"/>
      <c r="AD21" s="52"/>
      <c r="AE21" s="66"/>
      <c r="AF21" s="66"/>
      <c r="AG21" s="35" t="s">
        <v>201</v>
      </c>
      <c r="AH21" s="66"/>
      <c r="AI21" s="66"/>
      <c r="AJ21" s="66"/>
      <c r="AK21" s="66"/>
      <c r="AL21" s="66"/>
      <c r="AM21" s="66"/>
      <c r="AQ21" s="28" t="s">
        <v>202</v>
      </c>
      <c r="AR21" s="23">
        <f>Y10</f>
        <v>0</v>
      </c>
      <c r="AY21"/>
      <c r="AZ21"/>
      <c r="BA21"/>
      <c r="BB21"/>
      <c r="BC21"/>
      <c r="BD21"/>
      <c r="BE21"/>
      <c r="BF21"/>
      <c r="BG21"/>
      <c r="BH21"/>
      <c r="BI21"/>
      <c r="BJ21"/>
      <c r="BK21"/>
    </row>
    <row r="22" spans="1:103" ht="12.6" customHeight="1" thickBot="1" x14ac:dyDescent="0.25">
      <c r="A22" s="495" t="e">
        <f>VLOOKUP(M22,ADMIXTURES!A1:F289,2,FALSE)</f>
        <v>#N/A</v>
      </c>
      <c r="B22" s="496"/>
      <c r="C22" s="496"/>
      <c r="D22" s="497" t="e">
        <f>VLOOKUP(M22,ADMIXTURES!A1:F289,4,FALSE)</f>
        <v>#N/A</v>
      </c>
      <c r="E22" s="498"/>
      <c r="F22" s="498"/>
      <c r="G22" s="498"/>
      <c r="H22" s="498"/>
      <c r="I22" s="498"/>
      <c r="J22" s="498"/>
      <c r="K22" s="498"/>
      <c r="L22" s="498"/>
      <c r="M22" s="665"/>
      <c r="N22" s="500"/>
      <c r="O22" s="500"/>
      <c r="P22" s="500"/>
      <c r="Q22" s="500"/>
      <c r="R22" s="500"/>
      <c r="S22" s="500"/>
      <c r="T22" s="501"/>
      <c r="U22" s="504" t="e">
        <f>VLOOKUP(M22,ADMIXTURES!A1:F289,5,FALSE)</f>
        <v>#N/A</v>
      </c>
      <c r="V22" s="502"/>
      <c r="W22" s="502"/>
      <c r="X22" s="434" t="e">
        <f>VLOOKUP(M22,ADMIXTURES!A1:F289,6,FALSE)</f>
        <v>#N/A</v>
      </c>
      <c r="Y22" s="502"/>
      <c r="Z22" s="502"/>
      <c r="AA22" s="502"/>
      <c r="AB22" s="502"/>
      <c r="AC22" s="503"/>
      <c r="AD22" s="52"/>
      <c r="AE22" s="66"/>
      <c r="AF22" s="66"/>
      <c r="AG22" s="35" t="s">
        <v>204</v>
      </c>
      <c r="AH22" s="66"/>
      <c r="AI22" s="66"/>
      <c r="AJ22" s="66"/>
      <c r="AK22" s="66"/>
      <c r="AL22" s="66"/>
      <c r="AM22" s="66"/>
      <c r="AQ22" s="28" t="s">
        <v>205</v>
      </c>
      <c r="AR22" s="29">
        <f>AA10</f>
        <v>0</v>
      </c>
      <c r="AY22"/>
      <c r="AZ22"/>
      <c r="BA22"/>
      <c r="BB22"/>
      <c r="BC22"/>
      <c r="BD22"/>
      <c r="BE22"/>
      <c r="BF22"/>
      <c r="BG22"/>
      <c r="BH22"/>
      <c r="BI22"/>
      <c r="BJ22"/>
      <c r="BK22"/>
    </row>
    <row r="23" spans="1:103" ht="12.6" customHeight="1" thickBot="1" x14ac:dyDescent="0.25">
      <c r="A23" s="495" t="e">
        <f>VLOOKUP(M23,ADMIXTURES!A1:F289,2,FALSE)</f>
        <v>#N/A</v>
      </c>
      <c r="B23" s="496"/>
      <c r="C23" s="496"/>
      <c r="D23" s="497" t="e">
        <f>VLOOKUP(M23,ADMIXTURES!A1:F289,4,FALSE)</f>
        <v>#N/A</v>
      </c>
      <c r="E23" s="498"/>
      <c r="F23" s="498"/>
      <c r="G23" s="498"/>
      <c r="H23" s="498"/>
      <c r="I23" s="498"/>
      <c r="J23" s="498"/>
      <c r="K23" s="498"/>
      <c r="L23" s="498"/>
      <c r="M23" s="499"/>
      <c r="N23" s="500"/>
      <c r="O23" s="500"/>
      <c r="P23" s="500"/>
      <c r="Q23" s="500"/>
      <c r="R23" s="500"/>
      <c r="S23" s="500"/>
      <c r="T23" s="501"/>
      <c r="U23" s="504" t="e">
        <f>VLOOKUP(M23,ADMIXTURES!A1:F289,5,FALSE)</f>
        <v>#N/A</v>
      </c>
      <c r="V23" s="502"/>
      <c r="W23" s="502"/>
      <c r="X23" s="434" t="e">
        <f>VLOOKUP(M23,ADMIXTURES!A1:F289,6,FALSE)</f>
        <v>#N/A</v>
      </c>
      <c r="Y23" s="502"/>
      <c r="Z23" s="502"/>
      <c r="AA23" s="502"/>
      <c r="AB23" s="502"/>
      <c r="AC23" s="503"/>
      <c r="AD23" s="52"/>
      <c r="AE23" s="66"/>
      <c r="AF23" s="66"/>
      <c r="AG23" s="35"/>
      <c r="AH23" s="66"/>
      <c r="AI23" s="66"/>
      <c r="AJ23" s="66"/>
      <c r="AK23" s="66"/>
      <c r="AL23" s="66"/>
      <c r="AM23" s="66"/>
      <c r="AQ23" s="28"/>
      <c r="AR23" s="29"/>
      <c r="AY23"/>
      <c r="AZ23"/>
      <c r="BA23"/>
      <c r="BB23"/>
      <c r="BC23"/>
      <c r="BD23"/>
      <c r="BE23"/>
      <c r="BF23"/>
      <c r="BG23"/>
      <c r="BH23"/>
      <c r="BI23"/>
      <c r="BJ23"/>
      <c r="BK23"/>
    </row>
    <row r="24" spans="1:103" ht="12.6" customHeight="1" thickBot="1" x14ac:dyDescent="0.25">
      <c r="A24" s="495" t="e">
        <f>VLOOKUP(M24,ADMIXTURES!A1:F289,2,FALSE)</f>
        <v>#N/A</v>
      </c>
      <c r="B24" s="496"/>
      <c r="C24" s="496"/>
      <c r="D24" s="497" t="e">
        <f>VLOOKUP(M24,ADMIXTURES!A1:F289,4,FALSE)</f>
        <v>#N/A</v>
      </c>
      <c r="E24" s="498"/>
      <c r="F24" s="498"/>
      <c r="G24" s="498"/>
      <c r="H24" s="498"/>
      <c r="I24" s="498"/>
      <c r="J24" s="498"/>
      <c r="K24" s="498"/>
      <c r="L24" s="498"/>
      <c r="M24" s="499"/>
      <c r="N24" s="500"/>
      <c r="O24" s="500"/>
      <c r="P24" s="500"/>
      <c r="Q24" s="500"/>
      <c r="R24" s="500"/>
      <c r="S24" s="500"/>
      <c r="T24" s="501"/>
      <c r="U24" s="504" t="e">
        <f>VLOOKUP(M24,ADMIXTURES!A1:F289,5,FALSE)</f>
        <v>#N/A</v>
      </c>
      <c r="V24" s="502"/>
      <c r="W24" s="502"/>
      <c r="X24" s="434" t="e">
        <f>VLOOKUP(M24,ADMIXTURES!A1:F289,6,FALSE)</f>
        <v>#N/A</v>
      </c>
      <c r="Y24" s="502"/>
      <c r="Z24" s="502"/>
      <c r="AA24" s="502"/>
      <c r="AB24" s="502"/>
      <c r="AC24" s="503"/>
      <c r="AD24" s="52"/>
      <c r="AE24" s="66"/>
      <c r="AF24" s="66"/>
      <c r="AG24" s="35" t="s">
        <v>207</v>
      </c>
      <c r="AH24" s="66"/>
      <c r="AI24" s="66"/>
      <c r="AJ24" s="66"/>
      <c r="AK24" s="66"/>
      <c r="AL24" s="66"/>
      <c r="AM24" s="66"/>
      <c r="AQ24" s="28"/>
      <c r="AR24" s="29"/>
      <c r="AY24"/>
      <c r="AZ24"/>
      <c r="BA24"/>
      <c r="BB24"/>
      <c r="BC24"/>
      <c r="BD24"/>
      <c r="BE24"/>
      <c r="BF24"/>
      <c r="BG24"/>
      <c r="BH24"/>
      <c r="BI24"/>
      <c r="BJ24"/>
      <c r="BK24"/>
    </row>
    <row r="25" spans="1:103" ht="12.6" customHeight="1" thickBot="1" x14ac:dyDescent="0.25">
      <c r="A25" s="644"/>
      <c r="B25" s="631"/>
      <c r="C25" s="631"/>
      <c r="D25" s="645"/>
      <c r="E25" s="646"/>
      <c r="F25" s="646"/>
      <c r="G25" s="646"/>
      <c r="H25" s="646"/>
      <c r="I25" s="646"/>
      <c r="J25" s="646"/>
      <c r="K25" s="646"/>
      <c r="L25" s="646"/>
      <c r="M25" s="645"/>
      <c r="N25" s="646"/>
      <c r="O25" s="646"/>
      <c r="P25" s="646"/>
      <c r="Q25" s="646"/>
      <c r="R25" s="646"/>
      <c r="S25" s="646"/>
      <c r="T25" s="630"/>
      <c r="U25" s="647"/>
      <c r="V25" s="648"/>
      <c r="W25" s="649"/>
      <c r="X25" s="630"/>
      <c r="Y25" s="631"/>
      <c r="Z25" s="631"/>
      <c r="AA25" s="631"/>
      <c r="AB25" s="631"/>
      <c r="AC25" s="632"/>
      <c r="AD25" s="14"/>
      <c r="AF25" s="5"/>
      <c r="AG25" s="66" t="s">
        <v>208</v>
      </c>
      <c r="AI25" s="66"/>
      <c r="AJ25" s="66"/>
      <c r="AK25" s="66"/>
      <c r="AL25" s="66"/>
      <c r="AM25" s="66"/>
      <c r="AQ25" s="27" t="s">
        <v>209</v>
      </c>
      <c r="AR25" s="23" t="e">
        <f>A11</f>
        <v>#N/A</v>
      </c>
      <c r="AY25"/>
      <c r="AZ25"/>
      <c r="BA25"/>
      <c r="BB25"/>
      <c r="BC25"/>
      <c r="BD25"/>
      <c r="BE25"/>
      <c r="BF25"/>
      <c r="BG25"/>
      <c r="BH25"/>
      <c r="BI25"/>
      <c r="BJ25"/>
      <c r="BK25"/>
    </row>
    <row r="26" spans="1:103" ht="12.6" customHeight="1" thickBot="1" x14ac:dyDescent="0.25">
      <c r="A26" s="708" t="str">
        <f>IF(OR(U25="CaCl₂"),"concentration of CaCl₂ is"," ")</f>
        <v xml:space="preserve"> </v>
      </c>
      <c r="B26" s="708"/>
      <c r="C26" s="708"/>
      <c r="D26" s="708"/>
      <c r="E26" s="708"/>
      <c r="F26" s="708"/>
      <c r="G26" s="708"/>
      <c r="H26" s="708"/>
      <c r="I26" s="708"/>
      <c r="J26" s="709"/>
      <c r="K26" s="709"/>
      <c r="L26" s="522" t="str">
        <f>IF(OR(U25="CaCl₂"),"solution density is"," ")</f>
        <v xml:space="preserve"> </v>
      </c>
      <c r="M26" s="381"/>
      <c r="N26" s="381"/>
      <c r="O26" s="381"/>
      <c r="P26" s="381"/>
      <c r="Q26" s="710"/>
      <c r="R26" s="710"/>
      <c r="S26" s="720" t="str">
        <f>IF(OR(U25="CaCl₂"),"lbs /gal"," ")</f>
        <v xml:space="preserve"> </v>
      </c>
      <c r="T26" s="720"/>
      <c r="U26" s="720"/>
      <c r="V26" s="719" t="str">
        <f>IF(OR(U25="CaCl₂"),"water portion is"," ")</f>
        <v xml:space="preserve"> </v>
      </c>
      <c r="W26" s="719"/>
      <c r="X26" s="719"/>
      <c r="Y26" s="719"/>
      <c r="Z26" s="505" t="str">
        <f>IF(OR(U25="CaCl₂" ), Q26*(1-J26)," ")</f>
        <v xml:space="preserve"> </v>
      </c>
      <c r="AA26" s="505"/>
      <c r="AB26" s="522" t="str">
        <f>IF(OR(U25="CaCl₂"),"lbs/gal"," ")</f>
        <v xml:space="preserve"> </v>
      </c>
      <c r="AC26" s="522"/>
      <c r="AF26" s="5"/>
      <c r="AG26" s="66" t="s">
        <v>210</v>
      </c>
      <c r="AQ26" s="27" t="s">
        <v>211</v>
      </c>
      <c r="AR26" s="33">
        <f>D11</f>
        <v>0</v>
      </c>
      <c r="AY26"/>
      <c r="AZ26"/>
      <c r="BA26"/>
      <c r="BB26"/>
      <c r="BC26"/>
      <c r="BD26"/>
      <c r="BE26"/>
      <c r="BF26"/>
      <c r="BG26"/>
      <c r="BH26"/>
      <c r="BI26"/>
      <c r="BJ26"/>
      <c r="BK26"/>
    </row>
    <row r="27" spans="1:103" ht="15.75" customHeight="1" thickBot="1" x14ac:dyDescent="0.25">
      <c r="A27" s="668" t="s">
        <v>212</v>
      </c>
      <c r="B27" s="485"/>
      <c r="C27" s="485"/>
      <c r="D27" s="485"/>
      <c r="E27" s="485"/>
      <c r="F27" s="485"/>
      <c r="G27" s="485"/>
      <c r="H27" s="485"/>
      <c r="I27" s="485"/>
      <c r="J27" s="485"/>
      <c r="K27" s="485"/>
      <c r="L27" s="485"/>
      <c r="M27" s="485"/>
      <c r="N27" s="485"/>
      <c r="O27" s="485"/>
      <c r="P27" s="669"/>
      <c r="S27" s="668" t="s">
        <v>213</v>
      </c>
      <c r="T27" s="485"/>
      <c r="U27" s="485"/>
      <c r="V27" s="485"/>
      <c r="W27" s="485"/>
      <c r="X27" s="485"/>
      <c r="Y27" s="485"/>
      <c r="Z27" s="485"/>
      <c r="AA27" s="485"/>
      <c r="AB27" s="485"/>
      <c r="AC27" s="669"/>
      <c r="AF27" s="5"/>
      <c r="AG27" s="66" t="s">
        <v>214</v>
      </c>
      <c r="AP27" s="125"/>
      <c r="AQ27" s="27" t="s">
        <v>215</v>
      </c>
      <c r="AR27" s="23">
        <f>S11</f>
        <v>0</v>
      </c>
      <c r="AY27"/>
      <c r="AZ27"/>
      <c r="BA27"/>
      <c r="BB27"/>
      <c r="BC27"/>
      <c r="BD27"/>
      <c r="BE27"/>
      <c r="BF27"/>
      <c r="BG27"/>
      <c r="BH27"/>
      <c r="BI27"/>
      <c r="BJ27"/>
      <c r="BK27"/>
    </row>
    <row r="28" spans="1:103" ht="20.25" customHeight="1" thickTop="1" thickBot="1" x14ac:dyDescent="0.25">
      <c r="A28" s="712" t="s">
        <v>216</v>
      </c>
      <c r="B28" s="713"/>
      <c r="C28" s="713"/>
      <c r="D28" s="714"/>
      <c r="E28" s="270" t="s">
        <v>217</v>
      </c>
      <c r="F28" s="270"/>
      <c r="G28" s="271"/>
      <c r="H28" s="326" t="s">
        <v>218</v>
      </c>
      <c r="I28" s="270"/>
      <c r="J28" s="271"/>
      <c r="K28" s="326" t="s">
        <v>219</v>
      </c>
      <c r="L28" s="270"/>
      <c r="M28" s="271"/>
      <c r="N28" s="326" t="s">
        <v>220</v>
      </c>
      <c r="O28" s="270"/>
      <c r="P28" s="426"/>
      <c r="S28" s="514" t="s">
        <v>221</v>
      </c>
      <c r="T28" s="515"/>
      <c r="U28" s="515"/>
      <c r="V28" s="515"/>
      <c r="W28" s="515"/>
      <c r="X28" s="515"/>
      <c r="Y28" s="515"/>
      <c r="Z28" s="516"/>
      <c r="AA28" s="520" t="str">
        <f>IF(Sheet2!J7=2,(SUM(E31:G33)/SUM(E30:G33)*100),"")</f>
        <v/>
      </c>
      <c r="AB28" s="520"/>
      <c r="AC28" s="521"/>
      <c r="AF28" s="5"/>
      <c r="AG28" s="66" t="s">
        <v>222</v>
      </c>
      <c r="AQ28" s="28" t="s">
        <v>223</v>
      </c>
      <c r="AR28" s="23">
        <f>V11</f>
        <v>0</v>
      </c>
      <c r="AY28"/>
      <c r="AZ28"/>
      <c r="BA28"/>
      <c r="BB28"/>
      <c r="BC28"/>
      <c r="BD28"/>
      <c r="BE28"/>
      <c r="BF28"/>
      <c r="BG28"/>
      <c r="BH28"/>
      <c r="BI28"/>
      <c r="BJ28"/>
      <c r="BK28"/>
    </row>
    <row r="29" spans="1:103" ht="14.25" customHeight="1" x14ac:dyDescent="0.2">
      <c r="A29" s="715"/>
      <c r="B29" s="716"/>
      <c r="C29" s="716"/>
      <c r="D29" s="717"/>
      <c r="E29" s="273" t="s">
        <v>72</v>
      </c>
      <c r="F29" s="273"/>
      <c r="G29" s="345"/>
      <c r="H29" s="272" t="s">
        <v>224</v>
      </c>
      <c r="I29" s="273"/>
      <c r="J29" s="345"/>
      <c r="K29" s="272" t="s">
        <v>225</v>
      </c>
      <c r="L29" s="273"/>
      <c r="M29" s="345"/>
      <c r="N29" s="272" t="s">
        <v>226</v>
      </c>
      <c r="O29" s="273"/>
      <c r="P29" s="300"/>
      <c r="R29" s="3"/>
      <c r="S29" s="514" t="s">
        <v>227</v>
      </c>
      <c r="T29" s="515"/>
      <c r="U29" s="515"/>
      <c r="V29" s="515"/>
      <c r="W29" s="515"/>
      <c r="X29" s="515"/>
      <c r="Y29" s="515"/>
      <c r="Z29" s="516"/>
      <c r="AA29" s="520" t="str">
        <f>IF(Sheet2!J7=3,(SUM(E31:G33)/SUM(E30:G33)*100),"")</f>
        <v/>
      </c>
      <c r="AB29" s="520"/>
      <c r="AC29" s="521"/>
      <c r="AF29" s="5"/>
      <c r="AG29" s="66" t="s">
        <v>228</v>
      </c>
      <c r="AQ29" s="28" t="s">
        <v>229</v>
      </c>
      <c r="AR29" s="23">
        <f>Y11</f>
        <v>0</v>
      </c>
      <c r="AY29"/>
      <c r="AZ29"/>
      <c r="BA29"/>
      <c r="BB29"/>
      <c r="BC29"/>
      <c r="BD29"/>
      <c r="BE29"/>
      <c r="BF29"/>
      <c r="BG29"/>
      <c r="BH29"/>
      <c r="BI29"/>
      <c r="BJ29"/>
      <c r="BK29"/>
    </row>
    <row r="30" spans="1:103" ht="12.6" customHeight="1" x14ac:dyDescent="0.2">
      <c r="A30" s="595" t="s">
        <v>75</v>
      </c>
      <c r="B30" s="502"/>
      <c r="C30" s="502"/>
      <c r="D30" s="502"/>
      <c r="E30" s="526"/>
      <c r="F30" s="527"/>
      <c r="G30" s="528"/>
      <c r="H30" s="527"/>
      <c r="I30" s="527"/>
      <c r="J30" s="528"/>
      <c r="K30" s="508"/>
      <c r="L30" s="508"/>
      <c r="M30" s="508"/>
      <c r="N30" s="506">
        <f>IF(E30=0,0,ROUND(E30/H30/62.4,2))</f>
        <v>0</v>
      </c>
      <c r="O30" s="506"/>
      <c r="P30" s="507"/>
      <c r="R30" s="3"/>
      <c r="S30" s="513" t="s">
        <v>230</v>
      </c>
      <c r="T30" s="433"/>
      <c r="U30" s="433"/>
      <c r="V30" s="433"/>
      <c r="W30" s="433"/>
      <c r="X30" s="433"/>
      <c r="Y30" s="433"/>
      <c r="Z30" s="434"/>
      <c r="AA30" s="517">
        <f>SUM(E30:G33)</f>
        <v>0</v>
      </c>
      <c r="AB30" s="518"/>
      <c r="AC30" s="519"/>
      <c r="AF30" s="5"/>
      <c r="AG30" s="66" t="s">
        <v>231</v>
      </c>
      <c r="AQ30" s="28" t="s">
        <v>232</v>
      </c>
      <c r="AR30" s="29">
        <f>AA11</f>
        <v>0</v>
      </c>
      <c r="AY30"/>
      <c r="AZ30"/>
      <c r="BA30"/>
      <c r="BB30"/>
      <c r="BC30"/>
      <c r="BD30"/>
      <c r="BE30"/>
      <c r="BF30"/>
      <c r="BG30"/>
      <c r="BH30"/>
      <c r="BI30"/>
      <c r="BJ30"/>
      <c r="BK30"/>
    </row>
    <row r="31" spans="1:103" ht="12.6" customHeight="1" x14ac:dyDescent="0.2">
      <c r="A31" s="534" t="s">
        <v>77</v>
      </c>
      <c r="B31" s="502"/>
      <c r="C31" s="502"/>
      <c r="D31" s="502"/>
      <c r="E31" s="523"/>
      <c r="F31" s="524"/>
      <c r="G31" s="525"/>
      <c r="H31" s="524"/>
      <c r="I31" s="524"/>
      <c r="J31" s="525"/>
      <c r="K31" s="508"/>
      <c r="L31" s="508"/>
      <c r="M31" s="508"/>
      <c r="N31" s="506">
        <f>IF(OR(E31=0,H31=0),0,ROUND(E31/H31/62.4,2))</f>
        <v>0</v>
      </c>
      <c r="O31" s="506"/>
      <c r="P31" s="507"/>
      <c r="R31" s="3"/>
      <c r="S31" s="513" t="s">
        <v>233</v>
      </c>
      <c r="T31" s="433"/>
      <c r="U31" s="433"/>
      <c r="V31" s="433"/>
      <c r="W31" s="433"/>
      <c r="X31" s="433"/>
      <c r="Y31" s="433"/>
      <c r="Z31" s="434"/>
      <c r="AA31" s="509" t="str">
        <f>IF(Sheet2!G19=TRUE,Sheet2!G20,IF(Sheet2!G31=TRUE,Sheet2!G32,IF(Sheet2!G38=TRUE,Sheet2!G39,IF(Sheet2!G51=TRUE,Sheet2!G53,""))))</f>
        <v/>
      </c>
      <c r="AB31" s="510"/>
      <c r="AC31" s="67" t="str">
        <f>IF(AA31="","",":1")</f>
        <v/>
      </c>
      <c r="AG31" s="66" t="s">
        <v>234</v>
      </c>
      <c r="AQ31" s="28" t="s">
        <v>235</v>
      </c>
      <c r="AR31" s="23" t="e">
        <f>A15</f>
        <v>#N/A</v>
      </c>
      <c r="AY31"/>
      <c r="AZ31"/>
      <c r="BA31"/>
      <c r="BB31"/>
      <c r="BC31"/>
      <c r="BD31"/>
      <c r="BE31"/>
      <c r="BF31"/>
      <c r="BG31"/>
      <c r="BH31"/>
      <c r="BI31"/>
      <c r="BJ31"/>
      <c r="BK31"/>
    </row>
    <row r="32" spans="1:103" ht="12.6" customHeight="1" x14ac:dyDescent="0.2">
      <c r="A32" s="534" t="s">
        <v>78</v>
      </c>
      <c r="B32" s="502"/>
      <c r="C32" s="502"/>
      <c r="D32" s="502"/>
      <c r="E32" s="711"/>
      <c r="F32" s="671"/>
      <c r="G32" s="672"/>
      <c r="H32" s="671"/>
      <c r="I32" s="671"/>
      <c r="J32" s="672"/>
      <c r="K32" s="508"/>
      <c r="L32" s="508"/>
      <c r="M32" s="508"/>
      <c r="N32" s="506">
        <f>IF(OR(E32=0,H32=0),0,ROUND(E32/H32/62.4,2))</f>
        <v>0</v>
      </c>
      <c r="O32" s="506"/>
      <c r="P32" s="507"/>
      <c r="R32" s="3"/>
      <c r="S32" s="513" t="s">
        <v>236</v>
      </c>
      <c r="T32" s="433"/>
      <c r="U32" s="433"/>
      <c r="V32" s="433"/>
      <c r="W32" s="433"/>
      <c r="X32" s="433"/>
      <c r="Y32" s="433"/>
      <c r="Z32" s="434"/>
      <c r="AA32" s="509" t="str">
        <f>IF(Sheet2!G21=TRUE,Sheet2!G22,IF(Sheet2!G33=TRUE,Sheet2!G34,IF(Sheet2!G40=TRUE,Sheet2!G41,"")))</f>
        <v/>
      </c>
      <c r="AB32" s="510"/>
      <c r="AC32" s="67" t="str">
        <f>IF(AA32="","",":1")</f>
        <v/>
      </c>
      <c r="AG32" s="66" t="s">
        <v>237</v>
      </c>
      <c r="AQ32" s="28" t="s">
        <v>238</v>
      </c>
      <c r="AR32" s="127">
        <f>D15</f>
        <v>0</v>
      </c>
      <c r="AY32"/>
      <c r="AZ32"/>
      <c r="BA32"/>
      <c r="BB32"/>
      <c r="BC32"/>
      <c r="BD32"/>
      <c r="BE32"/>
      <c r="BF32"/>
      <c r="BG32"/>
      <c r="BH32"/>
      <c r="BI32"/>
      <c r="BJ32"/>
      <c r="BK32"/>
    </row>
    <row r="33" spans="1:63" ht="12.6" customHeight="1" x14ac:dyDescent="0.2">
      <c r="A33" s="595" t="s">
        <v>239</v>
      </c>
      <c r="B33" s="502"/>
      <c r="C33" s="502"/>
      <c r="D33" s="502"/>
      <c r="E33" s="523"/>
      <c r="F33" s="524"/>
      <c r="G33" s="525"/>
      <c r="H33" s="524"/>
      <c r="I33" s="524"/>
      <c r="J33" s="525"/>
      <c r="K33" s="508"/>
      <c r="L33" s="508"/>
      <c r="M33" s="508"/>
      <c r="N33" s="506">
        <f>IF(OR(E33=0,H33=0),0,ROUND(E33/H33/62.4,2))</f>
        <v>0</v>
      </c>
      <c r="O33" s="506"/>
      <c r="P33" s="507"/>
      <c r="R33" s="3"/>
      <c r="S33" s="513" t="s">
        <v>240</v>
      </c>
      <c r="T33" s="433"/>
      <c r="U33" s="433"/>
      <c r="V33" s="433"/>
      <c r="W33" s="433"/>
      <c r="X33" s="433"/>
      <c r="Y33" s="433"/>
      <c r="Z33" s="434"/>
      <c r="AA33" s="506" t="str">
        <f>IF(Sheet2!G17=TRUE,Sheet2!G18,IF(Sheet2!G29=TRUE,Sheet2!G30,IF(Sheet2!G36=TRUE,Sheet2!G37,IF(Sheet2!G50=TRUE,Sheet2!G52,""))))</f>
        <v/>
      </c>
      <c r="AB33" s="506"/>
      <c r="AC33" s="507"/>
      <c r="AG33" s="66" t="s">
        <v>241</v>
      </c>
      <c r="AQ33" s="28" t="s">
        <v>242</v>
      </c>
      <c r="AR33" s="23">
        <f>U15</f>
        <v>0</v>
      </c>
      <c r="AY33"/>
      <c r="AZ33"/>
      <c r="BA33"/>
      <c r="BB33"/>
      <c r="BC33"/>
      <c r="BD33"/>
      <c r="BE33"/>
      <c r="BF33"/>
      <c r="BG33"/>
      <c r="BH33"/>
      <c r="BI33"/>
      <c r="BJ33"/>
      <c r="BK33"/>
    </row>
    <row r="34" spans="1:63" ht="12.6" customHeight="1" x14ac:dyDescent="0.2">
      <c r="A34" s="595" t="s">
        <v>243</v>
      </c>
      <c r="B34" s="502"/>
      <c r="C34" s="502"/>
      <c r="D34" s="502"/>
      <c r="E34" s="523"/>
      <c r="F34" s="524"/>
      <c r="G34" s="525"/>
      <c r="H34" s="524"/>
      <c r="I34" s="524"/>
      <c r="J34" s="525"/>
      <c r="K34" s="508"/>
      <c r="L34" s="508"/>
      <c r="M34" s="508"/>
      <c r="N34" s="506">
        <f>IF(OR(E34=0,H34=0),0,ROUND(E34/H34/62.4,2))</f>
        <v>0</v>
      </c>
      <c r="O34" s="506"/>
      <c r="P34" s="507"/>
      <c r="R34" s="3"/>
      <c r="S34" s="513" t="s">
        <v>244</v>
      </c>
      <c r="T34" s="433"/>
      <c r="U34" s="433"/>
      <c r="V34" s="433"/>
      <c r="W34" s="433"/>
      <c r="X34" s="433"/>
      <c r="Y34" s="433"/>
      <c r="Z34" s="434"/>
      <c r="AA34" s="511" t="str">
        <f>IFERROR((E31/E30)*100,"")</f>
        <v/>
      </c>
      <c r="AB34" s="511"/>
      <c r="AC34" s="512"/>
      <c r="AG34" s="66" t="s">
        <v>245</v>
      </c>
      <c r="AQ34" s="28" t="s">
        <v>246</v>
      </c>
      <c r="AR34" s="23" t="e">
        <f>A16</f>
        <v>#N/A</v>
      </c>
      <c r="AY34"/>
      <c r="AZ34"/>
      <c r="BA34"/>
      <c r="BB34"/>
      <c r="BC34"/>
      <c r="BD34"/>
      <c r="BE34"/>
      <c r="BF34"/>
      <c r="BG34"/>
      <c r="BH34"/>
      <c r="BI34"/>
      <c r="BJ34"/>
      <c r="BK34"/>
    </row>
    <row r="35" spans="1:63" ht="12.6" customHeight="1" x14ac:dyDescent="0.2">
      <c r="A35" s="693" t="s">
        <v>81</v>
      </c>
      <c r="B35" s="723" t="s">
        <v>82</v>
      </c>
      <c r="C35" s="433"/>
      <c r="D35" s="434"/>
      <c r="E35" s="526"/>
      <c r="F35" s="527"/>
      <c r="G35" s="528"/>
      <c r="H35" s="527"/>
      <c r="I35" s="527"/>
      <c r="J35" s="528"/>
      <c r="K35" s="527"/>
      <c r="L35" s="527"/>
      <c r="M35" s="528"/>
      <c r="N35" s="506">
        <f>IF(OR(E35=0,H35=0,K35=0),0,ROUND(E35/H35/62.4,2))</f>
        <v>0</v>
      </c>
      <c r="O35" s="506"/>
      <c r="P35" s="507"/>
      <c r="R35" s="3"/>
      <c r="S35" s="534" t="s">
        <v>247</v>
      </c>
      <c r="T35" s="502"/>
      <c r="U35" s="502"/>
      <c r="V35" s="502"/>
      <c r="W35" s="502"/>
      <c r="X35" s="502"/>
      <c r="Y35" s="502"/>
      <c r="Z35" s="502"/>
      <c r="AA35" s="511" t="str">
        <f>IF(Sheet2!G47=TRUE,Sheet2!G48,IF(Sheet2!G24=TRUE,Sheet2!G26,""))</f>
        <v/>
      </c>
      <c r="AB35" s="511"/>
      <c r="AC35" s="512"/>
      <c r="AG35" s="66" t="s">
        <v>79</v>
      </c>
      <c r="AQ35" s="28" t="s">
        <v>248</v>
      </c>
      <c r="AR35" s="29">
        <f>D16</f>
        <v>0</v>
      </c>
      <c r="AY35"/>
      <c r="AZ35"/>
      <c r="BA35"/>
      <c r="BB35"/>
      <c r="BC35"/>
      <c r="BD35"/>
      <c r="BE35"/>
      <c r="BF35"/>
      <c r="BG35"/>
      <c r="BH35"/>
      <c r="BI35"/>
      <c r="BJ35"/>
      <c r="BK35"/>
    </row>
    <row r="36" spans="1:63" ht="12.6" customHeight="1" x14ac:dyDescent="0.2">
      <c r="A36" s="694"/>
      <c r="B36" s="723" t="s">
        <v>249</v>
      </c>
      <c r="C36" s="433"/>
      <c r="D36" s="434"/>
      <c r="E36" s="526"/>
      <c r="F36" s="527"/>
      <c r="G36" s="528"/>
      <c r="H36" s="527"/>
      <c r="I36" s="527"/>
      <c r="J36" s="528"/>
      <c r="K36" s="527"/>
      <c r="L36" s="527"/>
      <c r="M36" s="528"/>
      <c r="N36" s="506">
        <f>IF(OR(E36=0,H36=0,K36=0),0,ROUND(E36/H36/62.4,2))</f>
        <v>0</v>
      </c>
      <c r="O36" s="506"/>
      <c r="P36" s="507"/>
      <c r="R36" s="3"/>
      <c r="S36" s="595" t="s">
        <v>250</v>
      </c>
      <c r="T36" s="502"/>
      <c r="U36" s="502"/>
      <c r="V36" s="502"/>
      <c r="W36" s="502"/>
      <c r="X36" s="502"/>
      <c r="Y36" s="502"/>
      <c r="Z36" s="502"/>
      <c r="AA36" s="593" t="str">
        <f>IFERROR(IF(AND(Gradation!R19=0,Gradation!AC43=0),"Yes","No"),"")</f>
        <v/>
      </c>
      <c r="AB36" s="593"/>
      <c r="AC36" s="594"/>
      <c r="AG36" s="5"/>
      <c r="AQ36" s="28" t="s">
        <v>251</v>
      </c>
      <c r="AR36" s="23">
        <f>U16</f>
        <v>0</v>
      </c>
      <c r="AY36"/>
      <c r="AZ36"/>
      <c r="BA36"/>
      <c r="BB36"/>
      <c r="BC36"/>
      <c r="BD36"/>
      <c r="BE36"/>
      <c r="BF36"/>
      <c r="BG36"/>
      <c r="BH36"/>
      <c r="BI36"/>
      <c r="BJ36"/>
      <c r="BK36"/>
    </row>
    <row r="37" spans="1:63" ht="12.6" customHeight="1" x14ac:dyDescent="0.2">
      <c r="A37" s="694"/>
      <c r="B37" s="733"/>
      <c r="C37" s="444"/>
      <c r="D37" s="445"/>
      <c r="E37" s="237"/>
      <c r="F37" s="547"/>
      <c r="G37" s="238"/>
      <c r="H37" s="544"/>
      <c r="I37" s="545"/>
      <c r="J37" s="546"/>
      <c r="K37" s="234"/>
      <c r="L37" s="529"/>
      <c r="M37" s="235"/>
      <c r="N37" s="596"/>
      <c r="O37" s="444"/>
      <c r="P37" s="597"/>
      <c r="R37" s="3"/>
      <c r="S37" s="595" t="s">
        <v>252</v>
      </c>
      <c r="T37" s="502"/>
      <c r="U37" s="502"/>
      <c r="V37" s="502"/>
      <c r="W37" s="502"/>
      <c r="X37" s="502"/>
      <c r="Y37" s="502"/>
      <c r="Z37" s="502"/>
      <c r="AA37" s="696" t="str">
        <f>IFERROR(IF(AND(Gradation!R19=0,Gradation!AC44=0),"Yes","No"),"")</f>
        <v/>
      </c>
      <c r="AB37" s="697"/>
      <c r="AC37" s="698"/>
      <c r="AG37" s="5"/>
      <c r="AQ37" s="28"/>
      <c r="AR37" s="23"/>
      <c r="AY37"/>
      <c r="AZ37"/>
      <c r="BA37"/>
      <c r="BB37"/>
      <c r="BC37"/>
      <c r="BD37"/>
      <c r="BE37"/>
      <c r="BF37"/>
      <c r="BG37"/>
      <c r="BH37"/>
      <c r="BI37"/>
      <c r="BJ37"/>
      <c r="BK37"/>
    </row>
    <row r="38" spans="1:63" ht="12.6" customHeight="1" thickBot="1" x14ac:dyDescent="0.25">
      <c r="A38" s="695"/>
      <c r="B38" s="723" t="s">
        <v>253</v>
      </c>
      <c r="C38" s="433"/>
      <c r="D38" s="434"/>
      <c r="E38" s="237"/>
      <c r="F38" s="547"/>
      <c r="G38" s="238"/>
      <c r="H38" s="544"/>
      <c r="I38" s="545"/>
      <c r="J38" s="546"/>
      <c r="K38" s="234"/>
      <c r="L38" s="529"/>
      <c r="M38" s="235"/>
      <c r="N38" s="506">
        <f>IF(OR(E38=0,H38=0,K38=0),0,ROUND(E38/H38/62.4,2))</f>
        <v>0</v>
      </c>
      <c r="O38" s="506"/>
      <c r="P38" s="507"/>
      <c r="R38" s="3"/>
      <c r="S38" s="534" t="s">
        <v>254</v>
      </c>
      <c r="T38" s="502"/>
      <c r="U38" s="502"/>
      <c r="V38" s="502"/>
      <c r="W38" s="502"/>
      <c r="X38" s="502"/>
      <c r="Y38" s="502"/>
      <c r="Z38" s="502"/>
      <c r="AA38" s="721" t="e">
        <f>(E39+E41)/(E30+E31+E32+E33)</f>
        <v>#DIV/0!</v>
      </c>
      <c r="AB38" s="721"/>
      <c r="AC38" s="722"/>
      <c r="AQ38" s="28" t="s">
        <v>255</v>
      </c>
      <c r="AR38" s="23" t="e">
        <f>A17</f>
        <v>#N/A</v>
      </c>
      <c r="AY38"/>
      <c r="AZ38"/>
      <c r="BA38"/>
      <c r="BB38"/>
      <c r="BC38"/>
      <c r="BD38"/>
      <c r="BE38"/>
      <c r="BF38"/>
      <c r="BG38"/>
      <c r="BH38"/>
      <c r="BI38"/>
      <c r="BJ38"/>
      <c r="BK38"/>
    </row>
    <row r="39" spans="1:63" ht="12.6" customHeight="1" thickBot="1" x14ac:dyDescent="0.25">
      <c r="A39" s="673" t="s">
        <v>256</v>
      </c>
      <c r="B39" s="674"/>
      <c r="C39" s="674"/>
      <c r="D39" s="675"/>
      <c r="E39" s="724"/>
      <c r="F39" s="725"/>
      <c r="G39" s="726"/>
      <c r="H39" s="730">
        <v>1</v>
      </c>
      <c r="I39" s="587"/>
      <c r="J39" s="731"/>
      <c r="K39" s="536"/>
      <c r="L39" s="537"/>
      <c r="M39" s="538"/>
      <c r="N39" s="586">
        <f>IF(E39=0,0,ROUND(E39/H39/62.4,2))</f>
        <v>0</v>
      </c>
      <c r="O39" s="587"/>
      <c r="P39" s="588"/>
      <c r="R39" s="3"/>
      <c r="S39" s="513" t="s">
        <v>257</v>
      </c>
      <c r="T39" s="433"/>
      <c r="U39" s="433"/>
      <c r="V39" s="433"/>
      <c r="W39" s="433"/>
      <c r="X39" s="433"/>
      <c r="Y39" s="433"/>
      <c r="Z39" s="434"/>
      <c r="AA39" s="605" t="str">
        <f>IF(N44="ERROR!","ERROR!",E43/N43)</f>
        <v>ERROR!</v>
      </c>
      <c r="AB39" s="606"/>
      <c r="AC39" s="607"/>
      <c r="AG39" s="5" t="s">
        <v>258</v>
      </c>
      <c r="AQ39" s="28" t="s">
        <v>259</v>
      </c>
      <c r="AR39" s="127">
        <f>D17</f>
        <v>0</v>
      </c>
      <c r="AY39"/>
      <c r="AZ39"/>
      <c r="BA39"/>
      <c r="BB39"/>
      <c r="BC39"/>
      <c r="BD39"/>
      <c r="BE39"/>
      <c r="BF39"/>
      <c r="BG39"/>
      <c r="BH39"/>
      <c r="BI39"/>
      <c r="BJ39"/>
      <c r="BK39"/>
    </row>
    <row r="40" spans="1:63" ht="12.6" customHeight="1" x14ac:dyDescent="0.2">
      <c r="A40" s="676"/>
      <c r="B40" s="677"/>
      <c r="C40" s="677"/>
      <c r="D40" s="678"/>
      <c r="E40" s="727"/>
      <c r="F40" s="728"/>
      <c r="G40" s="729"/>
      <c r="H40" s="589"/>
      <c r="I40" s="590"/>
      <c r="J40" s="732"/>
      <c r="K40" s="539"/>
      <c r="L40" s="540"/>
      <c r="M40" s="541"/>
      <c r="N40" s="589"/>
      <c r="O40" s="590"/>
      <c r="P40" s="591"/>
      <c r="R40" s="3"/>
      <c r="S40" s="602" t="s">
        <v>260</v>
      </c>
      <c r="T40" s="603"/>
      <c r="U40" s="603"/>
      <c r="V40" s="603"/>
      <c r="W40" s="603"/>
      <c r="X40" s="603"/>
      <c r="Y40" s="603"/>
      <c r="Z40" s="603"/>
      <c r="AA40" s="679" t="str">
        <f>IFERROR(E35/(E35+E36+E38)*100,"")</f>
        <v/>
      </c>
      <c r="AB40" s="679"/>
      <c r="AC40" s="680"/>
      <c r="AG40" s="5"/>
      <c r="AQ40" s="28" t="s">
        <v>261</v>
      </c>
      <c r="AR40" s="23">
        <f>U17</f>
        <v>0</v>
      </c>
      <c r="AY40"/>
      <c r="AZ40"/>
      <c r="BA40"/>
      <c r="BB40"/>
      <c r="BC40"/>
      <c r="BD40"/>
      <c r="BE40"/>
      <c r="BF40"/>
      <c r="BG40"/>
      <c r="BH40"/>
      <c r="BI40"/>
      <c r="BJ40"/>
      <c r="BK40"/>
    </row>
    <row r="41" spans="1:63" ht="12.6" customHeight="1" x14ac:dyDescent="0.2">
      <c r="A41" s="534" t="s">
        <v>262</v>
      </c>
      <c r="B41" s="502"/>
      <c r="C41" s="502"/>
      <c r="D41" s="502"/>
      <c r="E41" s="523"/>
      <c r="F41" s="524"/>
      <c r="G41" s="533"/>
      <c r="H41" s="535">
        <v>1</v>
      </c>
      <c r="I41" s="535"/>
      <c r="J41" s="535"/>
      <c r="K41" s="508"/>
      <c r="L41" s="508"/>
      <c r="M41" s="508"/>
      <c r="N41" s="506">
        <f>IF(E41=0,0,ROUND(E41/H41/62.4,2))</f>
        <v>0</v>
      </c>
      <c r="O41" s="506"/>
      <c r="P41" s="507"/>
      <c r="R41" s="3"/>
      <c r="S41" s="534" t="s">
        <v>263</v>
      </c>
      <c r="T41" s="502"/>
      <c r="U41" s="502"/>
      <c r="V41" s="502"/>
      <c r="W41" s="502"/>
      <c r="X41" s="502"/>
      <c r="Y41" s="502"/>
      <c r="Z41" s="502"/>
      <c r="AA41" s="511" t="str">
        <f>IFERROR(N35*100/SUM(N35:N38),"")</f>
        <v/>
      </c>
      <c r="AB41" s="511"/>
      <c r="AC41" s="512"/>
      <c r="AG41" s="5" t="s">
        <v>37</v>
      </c>
      <c r="AQ41" s="28" t="s">
        <v>264</v>
      </c>
      <c r="AR41" s="23">
        <f>AA15</f>
        <v>0</v>
      </c>
      <c r="AY41"/>
      <c r="AZ41"/>
      <c r="BA41"/>
      <c r="BB41"/>
      <c r="BC41"/>
      <c r="BD41"/>
      <c r="BE41"/>
      <c r="BF41"/>
      <c r="BG41"/>
      <c r="BH41"/>
      <c r="BI41"/>
      <c r="BJ41"/>
      <c r="BK41"/>
    </row>
    <row r="42" spans="1:63" ht="12.6" customHeight="1" x14ac:dyDescent="0.2">
      <c r="A42" s="542" t="s">
        <v>265</v>
      </c>
      <c r="B42" s="434"/>
      <c r="C42" s="543">
        <f>IF(V6="501 QC/QA PCCP",7,6.5)</f>
        <v>7</v>
      </c>
      <c r="D42" s="543"/>
      <c r="E42" s="530"/>
      <c r="F42" s="531"/>
      <c r="G42" s="532"/>
      <c r="H42" s="535">
        <v>0</v>
      </c>
      <c r="I42" s="535"/>
      <c r="J42" s="535"/>
      <c r="K42" s="508"/>
      <c r="L42" s="508"/>
      <c r="M42" s="508"/>
      <c r="N42" s="506">
        <f>(C42/100)*27</f>
        <v>1.8900000000000001</v>
      </c>
      <c r="O42" s="506"/>
      <c r="P42" s="507"/>
      <c r="R42" s="3"/>
      <c r="S42" s="513" t="str">
        <f>IF(OR(V6=501,V6="730*"),"*** % Passing 1 inch sieve","% Passing 1 inch sieve")</f>
        <v>% Passing 1 inch sieve</v>
      </c>
      <c r="T42" s="433"/>
      <c r="U42" s="433"/>
      <c r="V42" s="433"/>
      <c r="W42" s="433"/>
      <c r="X42" s="433"/>
      <c r="Y42" s="433"/>
      <c r="Z42" s="433"/>
      <c r="AA42" s="578" t="str">
        <f>IF(AND(S42="*** % Passing 1 inch sieve",OR(S9="QA",S10="QA",S11="QA")),K12,IF(AND(S42="*** % Passing 1 inch sieve",OR(S9="#8",S10="#8",S11="#8")),100,""))</f>
        <v/>
      </c>
      <c r="AB42" s="579"/>
      <c r="AC42" s="604"/>
      <c r="AG42" s="5" t="s">
        <v>40</v>
      </c>
      <c r="AQ42" s="28" t="s">
        <v>266</v>
      </c>
      <c r="AR42" s="23">
        <f>AA17</f>
        <v>0</v>
      </c>
      <c r="AY42"/>
      <c r="AZ42"/>
      <c r="BA42"/>
      <c r="BB42"/>
      <c r="BC42"/>
      <c r="BD42"/>
      <c r="BE42"/>
      <c r="BF42"/>
      <c r="BG42"/>
      <c r="BH42"/>
      <c r="BI42"/>
      <c r="BJ42"/>
      <c r="BK42"/>
    </row>
    <row r="43" spans="1:63" ht="12.6" customHeight="1" thickBot="1" x14ac:dyDescent="0.25">
      <c r="A43" s="534" t="s">
        <v>267</v>
      </c>
      <c r="B43" s="502"/>
      <c r="C43" s="502"/>
      <c r="D43" s="502"/>
      <c r="E43" s="578">
        <f>SUM(E30:E42)</f>
        <v>0</v>
      </c>
      <c r="F43" s="579"/>
      <c r="G43" s="580"/>
      <c r="H43" s="508"/>
      <c r="I43" s="508"/>
      <c r="J43" s="508"/>
      <c r="K43" s="508"/>
      <c r="L43" s="508"/>
      <c r="M43" s="508"/>
      <c r="N43" s="506">
        <f>ROUND(SUM(N30:N42),2)</f>
        <v>1.89</v>
      </c>
      <c r="O43" s="506"/>
      <c r="P43" s="507"/>
      <c r="R43" s="3"/>
      <c r="S43" s="581" t="str">
        <f>IF(OR(V6=501,V6="730*"), "** % Passing No. 200 sieve","% Passing No. 200 sieve")</f>
        <v>% Passing No. 200 sieve</v>
      </c>
      <c r="T43" s="582"/>
      <c r="U43" s="582"/>
      <c r="V43" s="582"/>
      <c r="W43" s="582"/>
      <c r="X43" s="582"/>
      <c r="Y43" s="582"/>
      <c r="Z43" s="583"/>
      <c r="AA43" s="584" t="str">
        <f>IFERROR(IF(OR(V6="501 QC/QA PCCP",V6="730*"),100*(((AB12*E35/(1+K35/100))+(W12*E36/(1+K36/100)))/(E35/(1+K35/100)+E36/(1+K36/100))),""),"")</f>
        <v/>
      </c>
      <c r="AB43" s="584"/>
      <c r="AC43" s="585"/>
      <c r="AG43" s="5" t="s">
        <v>42</v>
      </c>
      <c r="AQ43" s="28" t="s">
        <v>268</v>
      </c>
      <c r="AR43" s="129" t="e">
        <f>A20</f>
        <v>#N/A</v>
      </c>
      <c r="AY43"/>
      <c r="AZ43"/>
      <c r="BA43"/>
      <c r="BB43"/>
      <c r="BC43"/>
      <c r="BD43"/>
      <c r="BE43"/>
      <c r="BF43"/>
      <c r="BG43"/>
      <c r="BH43"/>
      <c r="BI43"/>
      <c r="BJ43"/>
      <c r="BK43"/>
    </row>
    <row r="44" spans="1:63" ht="18" customHeight="1" x14ac:dyDescent="0.2">
      <c r="A44" s="550"/>
      <c r="B44" s="551"/>
      <c r="C44" s="551"/>
      <c r="D44" s="551"/>
      <c r="E44" s="551"/>
      <c r="F44" s="551"/>
      <c r="G44" s="551"/>
      <c r="H44" s="551"/>
      <c r="I44" s="551"/>
      <c r="J44" s="408" t="s">
        <v>269</v>
      </c>
      <c r="K44" s="408"/>
      <c r="L44" s="408"/>
      <c r="M44" s="552"/>
      <c r="N44" s="560" t="str">
        <f>IF(OR(N43&gt;27,N43&lt;27),"ERROR!","Correct")</f>
        <v>ERROR!</v>
      </c>
      <c r="O44" s="561"/>
      <c r="P44" s="562"/>
      <c r="S44" s="570" t="s">
        <v>270</v>
      </c>
      <c r="T44" s="571"/>
      <c r="U44" s="571"/>
      <c r="V44" s="571"/>
      <c r="W44" s="571"/>
      <c r="X44" s="571"/>
      <c r="Y44" s="571"/>
      <c r="Z44" s="571"/>
      <c r="AA44" s="572">
        <f>((N30+N31+N32+N33+N39+N41+N42)/N43)*100</f>
        <v>100.00000000000003</v>
      </c>
      <c r="AB44" s="572"/>
      <c r="AC44" s="573"/>
      <c r="AG44" s="5" t="s">
        <v>45</v>
      </c>
      <c r="AQ44" s="32" t="s">
        <v>271</v>
      </c>
      <c r="AR44" s="127" t="e">
        <f>D20</f>
        <v>#N/A</v>
      </c>
      <c r="AY44"/>
      <c r="AZ44"/>
      <c r="BA44"/>
      <c r="BB44"/>
      <c r="BC44"/>
      <c r="BD44"/>
      <c r="BE44"/>
      <c r="BF44"/>
      <c r="BG44"/>
      <c r="BH44"/>
      <c r="BI44"/>
      <c r="BJ44"/>
      <c r="BK44"/>
    </row>
    <row r="45" spans="1:63" ht="18" customHeight="1" x14ac:dyDescent="0.2">
      <c r="A45" s="184"/>
      <c r="B45" s="184"/>
      <c r="C45" s="184"/>
      <c r="D45" s="184"/>
      <c r="E45" s="184"/>
      <c r="F45" s="184"/>
      <c r="G45" s="184"/>
      <c r="H45" s="184"/>
      <c r="I45" s="184"/>
      <c r="J45" s="68"/>
      <c r="K45" s="68"/>
      <c r="L45" s="68"/>
      <c r="M45" s="68"/>
      <c r="N45" s="182"/>
      <c r="O45" s="182"/>
      <c r="P45" s="182"/>
      <c r="S45" s="598" t="s">
        <v>272</v>
      </c>
      <c r="T45" s="599"/>
      <c r="U45" s="599"/>
      <c r="V45" s="599"/>
      <c r="W45" s="599"/>
      <c r="X45" s="599"/>
      <c r="Y45" s="599"/>
      <c r="Z45" s="599"/>
      <c r="AA45" s="600"/>
      <c r="AB45" s="601"/>
      <c r="AC45" s="183"/>
      <c r="AG45" s="5" t="s">
        <v>47</v>
      </c>
      <c r="AP45" s="3"/>
      <c r="AQ45" s="32"/>
      <c r="AR45" s="127"/>
      <c r="AY45"/>
      <c r="AZ45"/>
      <c r="BA45"/>
      <c r="BB45"/>
      <c r="BC45"/>
      <c r="BD45"/>
      <c r="BE45"/>
      <c r="BF45"/>
      <c r="BG45"/>
      <c r="BH45"/>
      <c r="BI45"/>
      <c r="BJ45"/>
      <c r="BK45"/>
    </row>
    <row r="46" spans="1:63" ht="16.5" customHeight="1" x14ac:dyDescent="0.2">
      <c r="A46" s="567" t="s">
        <v>273</v>
      </c>
      <c r="B46" s="568"/>
      <c r="C46" s="568"/>
      <c r="D46" s="568"/>
      <c r="E46" s="568"/>
      <c r="F46" s="568"/>
      <c r="G46" s="568"/>
      <c r="H46" s="568"/>
      <c r="I46" s="568"/>
      <c r="J46" s="568"/>
      <c r="K46" s="568"/>
      <c r="L46" s="568"/>
      <c r="M46" s="592" t="str">
        <f>IF(V6="501 QC/QA PCCP","***501 QC/QA PCCP MUST HAVE A POZZOLAN***"," ")</f>
        <v>***501 QC/QA PCCP MUST HAVE A POZZOLAN***</v>
      </c>
      <c r="N46" s="592"/>
      <c r="O46" s="592"/>
      <c r="P46" s="592"/>
      <c r="Q46" s="592"/>
      <c r="R46" s="592"/>
      <c r="S46" s="592"/>
      <c r="T46" s="592"/>
      <c r="U46" s="592"/>
      <c r="V46" s="592"/>
      <c r="W46" s="592"/>
      <c r="X46" s="592"/>
      <c r="Y46" s="592"/>
      <c r="Z46" s="592"/>
      <c r="AA46" s="592"/>
      <c r="AB46" s="592"/>
      <c r="AC46" s="592"/>
      <c r="AG46" s="5" t="s">
        <v>50</v>
      </c>
      <c r="AP46" s="3"/>
      <c r="AQ46" s="32" t="s">
        <v>274</v>
      </c>
      <c r="AR46" s="33">
        <f>M20</f>
        <v>0</v>
      </c>
      <c r="AY46"/>
      <c r="AZ46"/>
      <c r="BA46"/>
      <c r="BB46"/>
      <c r="BC46"/>
      <c r="BD46"/>
      <c r="BE46"/>
      <c r="BF46"/>
      <c r="BG46"/>
      <c r="BH46"/>
      <c r="BI46"/>
      <c r="BJ46"/>
      <c r="BK46"/>
    </row>
    <row r="47" spans="1:63" ht="18.75" customHeight="1" x14ac:dyDescent="0.2">
      <c r="A47" s="2"/>
      <c r="B47" s="2"/>
      <c r="E47" s="5" t="s">
        <v>275</v>
      </c>
      <c r="M47" s="576"/>
      <c r="N47" s="576"/>
      <c r="O47" s="576"/>
      <c r="P47" s="576"/>
      <c r="Q47" s="576"/>
      <c r="R47" s="576"/>
      <c r="S47" s="576"/>
      <c r="T47" s="576"/>
      <c r="U47" s="576"/>
      <c r="V47" s="576"/>
      <c r="W47" s="576"/>
      <c r="X47" s="270" t="s">
        <v>276</v>
      </c>
      <c r="Y47" s="270"/>
      <c r="Z47" s="577"/>
      <c r="AA47" s="576"/>
      <c r="AB47" s="576"/>
      <c r="AC47" s="576"/>
      <c r="AD47" s="6"/>
      <c r="AG47" s="5" t="s">
        <v>277</v>
      </c>
      <c r="AO47" s="123"/>
      <c r="AP47" s="124"/>
      <c r="AQ47" s="32" t="s">
        <v>181</v>
      </c>
      <c r="AR47" s="127" t="e">
        <f>U20</f>
        <v>#N/A</v>
      </c>
      <c r="AY47"/>
      <c r="AZ47"/>
      <c r="BA47"/>
      <c r="BB47"/>
      <c r="BC47"/>
      <c r="BD47"/>
      <c r="BE47"/>
      <c r="BF47"/>
      <c r="BG47"/>
      <c r="BH47"/>
      <c r="BI47"/>
      <c r="BJ47"/>
      <c r="BK47"/>
    </row>
    <row r="48" spans="1:63" ht="16.5" customHeight="1" x14ac:dyDescent="0.2">
      <c r="A48" s="213"/>
      <c r="M48" s="40"/>
      <c r="N48" s="557" t="s">
        <v>278</v>
      </c>
      <c r="O48" s="557"/>
      <c r="P48" s="557"/>
      <c r="Q48" s="557"/>
      <c r="R48" s="557"/>
      <c r="S48" s="557"/>
      <c r="T48" s="557"/>
      <c r="U48" s="557"/>
      <c r="V48" s="557"/>
      <c r="W48" s="557"/>
      <c r="X48" s="557"/>
      <c r="Y48" s="557"/>
      <c r="Z48" s="553"/>
      <c r="AA48" s="553"/>
      <c r="AB48" s="553"/>
      <c r="AC48" s="553"/>
      <c r="AD48" s="34"/>
      <c r="AG48" s="5"/>
      <c r="AP48" s="3"/>
      <c r="AQ48" s="32" t="s">
        <v>279</v>
      </c>
      <c r="AR48" s="127" t="e">
        <f>X20</f>
        <v>#N/A</v>
      </c>
      <c r="AY48"/>
      <c r="AZ48"/>
      <c r="BA48"/>
      <c r="BB48"/>
      <c r="BC48"/>
      <c r="BD48"/>
      <c r="BE48"/>
      <c r="BF48"/>
      <c r="BG48"/>
      <c r="BH48"/>
      <c r="BI48"/>
      <c r="BJ48"/>
      <c r="BK48"/>
    </row>
    <row r="49" spans="1:63" ht="16.5" customHeight="1" x14ac:dyDescent="0.2">
      <c r="A49" s="213"/>
      <c r="M49" s="41"/>
      <c r="N49" s="215"/>
      <c r="O49" s="215"/>
      <c r="P49" s="558" t="s">
        <v>280</v>
      </c>
      <c r="Q49" s="558"/>
      <c r="R49" s="558"/>
      <c r="S49" s="558"/>
      <c r="T49" s="558"/>
      <c r="U49" s="558"/>
      <c r="V49" s="558"/>
      <c r="W49" s="558"/>
      <c r="X49" s="558"/>
      <c r="Y49" s="558"/>
      <c r="Z49" s="559"/>
      <c r="AA49" s="559"/>
      <c r="AB49" s="559"/>
      <c r="AC49" s="559"/>
      <c r="AD49" s="34"/>
      <c r="AG49" s="5" t="s">
        <v>281</v>
      </c>
      <c r="AQ49" s="32" t="s">
        <v>282</v>
      </c>
      <c r="AR49" s="129" t="e">
        <f>A21</f>
        <v>#N/A</v>
      </c>
      <c r="AY49"/>
      <c r="AZ49"/>
      <c r="BA49"/>
      <c r="BB49"/>
      <c r="BC49"/>
      <c r="BD49"/>
      <c r="BE49"/>
      <c r="BF49"/>
      <c r="BG49"/>
      <c r="BH49"/>
      <c r="BI49"/>
      <c r="BJ49"/>
      <c r="BK49"/>
    </row>
    <row r="50" spans="1:63" ht="13.5" customHeight="1" x14ac:dyDescent="0.2">
      <c r="A50" s="270" t="s">
        <v>283</v>
      </c>
      <c r="B50" s="270"/>
      <c r="C50" s="270"/>
      <c r="D50" s="270"/>
      <c r="E50" s="270"/>
      <c r="F50" s="270"/>
      <c r="G50" s="574"/>
      <c r="H50" s="575"/>
      <c r="I50" s="575"/>
      <c r="J50" s="575"/>
      <c r="K50" s="575"/>
      <c r="L50" s="575"/>
      <c r="M50" s="575"/>
      <c r="N50" s="575"/>
      <c r="O50" s="575"/>
      <c r="P50" s="575"/>
      <c r="Q50" s="575"/>
      <c r="R50" s="575"/>
      <c r="S50" s="575"/>
      <c r="T50" s="575"/>
      <c r="U50" s="575"/>
      <c r="V50" s="575"/>
      <c r="W50" s="575"/>
      <c r="X50" s="575"/>
      <c r="Y50" s="575"/>
      <c r="Z50" s="575"/>
      <c r="AA50" s="575"/>
      <c r="AB50" s="575"/>
      <c r="AC50" s="575"/>
      <c r="AD50" s="34"/>
      <c r="AQ50" s="32" t="s">
        <v>284</v>
      </c>
      <c r="AR50" s="23" t="e">
        <f>D20</f>
        <v>#N/A</v>
      </c>
      <c r="AY50"/>
      <c r="AZ50"/>
      <c r="BA50"/>
      <c r="BB50"/>
      <c r="BC50"/>
      <c r="BD50"/>
      <c r="BE50"/>
      <c r="BF50"/>
      <c r="BG50"/>
      <c r="BH50"/>
      <c r="BI50"/>
      <c r="BJ50"/>
      <c r="BK50"/>
    </row>
    <row r="51" spans="1:63" ht="13.5" customHeight="1" x14ac:dyDescent="0.2">
      <c r="A51" s="563"/>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110"/>
      <c r="AQ51" s="32" t="s">
        <v>285</v>
      </c>
      <c r="AR51" s="33">
        <f>M21</f>
        <v>0</v>
      </c>
      <c r="AY51"/>
      <c r="AZ51"/>
      <c r="BA51"/>
      <c r="BB51"/>
      <c r="BC51"/>
      <c r="BD51"/>
      <c r="BE51"/>
      <c r="BF51"/>
      <c r="BG51"/>
      <c r="BH51"/>
      <c r="BI51"/>
      <c r="BJ51"/>
      <c r="BK51"/>
    </row>
    <row r="52" spans="1:63" ht="12.75" customHeight="1" x14ac:dyDescent="0.2">
      <c r="A52" s="564"/>
      <c r="B52" s="564"/>
      <c r="C52" s="564"/>
      <c r="D52" s="564"/>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110"/>
      <c r="AQ52" s="32" t="s">
        <v>286</v>
      </c>
      <c r="AR52" s="23" t="e">
        <f>U21</f>
        <v>#N/A</v>
      </c>
      <c r="AY52"/>
      <c r="AZ52"/>
      <c r="BA52"/>
      <c r="BB52"/>
      <c r="BC52"/>
      <c r="BD52"/>
      <c r="BE52"/>
      <c r="BF52"/>
      <c r="BG52"/>
      <c r="BH52"/>
      <c r="BI52"/>
      <c r="BJ52"/>
      <c r="BK52"/>
    </row>
    <row r="53" spans="1:63" ht="12.75" customHeight="1" x14ac:dyDescent="0.2">
      <c r="A53" s="270" t="s">
        <v>287</v>
      </c>
      <c r="B53" s="270"/>
      <c r="C53" s="270"/>
      <c r="D53" s="270"/>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110"/>
      <c r="AQ53" s="32" t="s">
        <v>288</v>
      </c>
      <c r="AR53" s="29" t="e">
        <f>X21</f>
        <v>#N/A</v>
      </c>
      <c r="AY53"/>
      <c r="AZ53"/>
      <c r="BA53"/>
      <c r="BB53"/>
      <c r="BC53"/>
      <c r="BD53"/>
      <c r="BE53"/>
      <c r="BF53"/>
      <c r="BG53"/>
      <c r="BH53"/>
      <c r="BI53"/>
      <c r="BJ53"/>
      <c r="BK53"/>
    </row>
    <row r="54" spans="1:63" ht="12.75" customHeight="1" thickBot="1" x14ac:dyDescent="0.25">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18"/>
      <c r="AQ54" s="32" t="s">
        <v>289</v>
      </c>
      <c r="AR54" s="129" t="e">
        <f>A22</f>
        <v>#N/A</v>
      </c>
      <c r="AY54"/>
      <c r="AZ54"/>
      <c r="BA54"/>
      <c r="BB54"/>
      <c r="BC54"/>
      <c r="BD54"/>
      <c r="BE54"/>
      <c r="BF54"/>
      <c r="BG54"/>
      <c r="BH54"/>
      <c r="BI54"/>
      <c r="BJ54"/>
      <c r="BK54"/>
    </row>
    <row r="55" spans="1:63" ht="12.75" customHeight="1" thickBot="1" x14ac:dyDescent="0.25">
      <c r="A55" s="569"/>
      <c r="B55" s="569"/>
      <c r="C55" s="569"/>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18"/>
      <c r="AQ55" s="32" t="s">
        <v>290</v>
      </c>
      <c r="AR55" s="23" t="e">
        <f>D22</f>
        <v>#N/A</v>
      </c>
      <c r="AY55"/>
      <c r="AZ55"/>
      <c r="BA55"/>
      <c r="BB55"/>
      <c r="BC55"/>
      <c r="BD55"/>
      <c r="BE55"/>
      <c r="BF55"/>
      <c r="BG55"/>
      <c r="BH55"/>
      <c r="BI55"/>
      <c r="BJ55"/>
      <c r="BK55"/>
    </row>
    <row r="56" spans="1:63" ht="12.75" customHeight="1" thickBot="1" x14ac:dyDescent="0.25">
      <c r="A56" s="569"/>
      <c r="B56" s="569"/>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18"/>
      <c r="AQ56" s="32" t="s">
        <v>291</v>
      </c>
      <c r="AR56" s="29">
        <f>M22</f>
        <v>0</v>
      </c>
      <c r="AY56"/>
      <c r="AZ56"/>
      <c r="BA56"/>
      <c r="BB56"/>
      <c r="BC56"/>
      <c r="BD56"/>
      <c r="BE56"/>
      <c r="BF56"/>
      <c r="BG56"/>
      <c r="BH56"/>
      <c r="BI56"/>
      <c r="BJ56"/>
      <c r="BK56"/>
    </row>
    <row r="57" spans="1:63" ht="12.75" customHeight="1" thickBot="1" x14ac:dyDescent="0.25">
      <c r="A57" s="548"/>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9"/>
      <c r="AA57" s="554" t="s">
        <v>1865</v>
      </c>
      <c r="AB57" s="555"/>
      <c r="AC57" s="555"/>
      <c r="AD57" s="556"/>
      <c r="AQ57" s="32" t="s">
        <v>292</v>
      </c>
      <c r="AR57" s="23" t="e">
        <f>U22</f>
        <v>#N/A</v>
      </c>
      <c r="AY57"/>
      <c r="AZ57"/>
      <c r="BA57"/>
      <c r="BB57"/>
      <c r="BC57"/>
      <c r="BD57"/>
      <c r="BE57"/>
      <c r="BF57"/>
      <c r="BG57"/>
      <c r="BH57"/>
      <c r="BI57"/>
      <c r="BJ57"/>
      <c r="BK57"/>
    </row>
    <row r="58" spans="1:63" s="120" customFormat="1" ht="12.75" customHeight="1" thickBot="1" x14ac:dyDescent="0.25">
      <c r="AG58"/>
      <c r="AI58"/>
      <c r="AJ58"/>
      <c r="AK58"/>
      <c r="AL58"/>
      <c r="AM58"/>
      <c r="AN58"/>
      <c r="AO58"/>
      <c r="AP58"/>
      <c r="AQ58" s="138" t="s">
        <v>293</v>
      </c>
      <c r="AR58" s="139" t="e">
        <f>X22</f>
        <v>#N/A</v>
      </c>
    </row>
    <row r="59" spans="1:63" s="120" customFormat="1" ht="18.75" customHeight="1" thickBot="1" x14ac:dyDescent="0.25">
      <c r="AG59"/>
      <c r="AQ59" s="140" t="s">
        <v>294</v>
      </c>
      <c r="AR59" s="141" t="e">
        <f>A24</f>
        <v>#N/A</v>
      </c>
    </row>
    <row r="60" spans="1:63" s="120" customFormat="1" ht="24.75" thickBot="1" x14ac:dyDescent="0.25">
      <c r="AG60"/>
      <c r="AQ60" s="140" t="s">
        <v>295</v>
      </c>
      <c r="AR60" s="142" t="e">
        <f>D24</f>
        <v>#N/A</v>
      </c>
    </row>
    <row r="61" spans="1:63" s="120" customFormat="1" ht="24.75" thickBot="1" x14ac:dyDescent="0.25">
      <c r="AQ61" s="140" t="s">
        <v>296</v>
      </c>
      <c r="AR61" s="139">
        <f>M24</f>
        <v>0</v>
      </c>
    </row>
    <row r="62" spans="1:63" s="120" customFormat="1" ht="13.5" thickBot="1" x14ac:dyDescent="0.25">
      <c r="AQ62" s="140" t="s">
        <v>297</v>
      </c>
      <c r="AR62" s="142" t="e">
        <f>U24</f>
        <v>#N/A</v>
      </c>
    </row>
    <row r="63" spans="1:63" s="120" customFormat="1" ht="24.75" thickBot="1" x14ac:dyDescent="0.25">
      <c r="AQ63" s="138" t="s">
        <v>298</v>
      </c>
      <c r="AR63" s="143" t="e">
        <f>X24</f>
        <v>#N/A</v>
      </c>
    </row>
    <row r="64" spans="1:63" s="120" customFormat="1" ht="13.5" thickBot="1" x14ac:dyDescent="0.25">
      <c r="AQ64" s="140" t="s">
        <v>299</v>
      </c>
      <c r="AR64" s="141">
        <f>A25</f>
        <v>0</v>
      </c>
    </row>
    <row r="65" spans="43:45" s="120" customFormat="1" ht="24.75" thickBot="1" x14ac:dyDescent="0.25">
      <c r="AQ65" s="140" t="s">
        <v>300</v>
      </c>
      <c r="AR65" s="139">
        <f>D25</f>
        <v>0</v>
      </c>
    </row>
    <row r="66" spans="43:45" s="120" customFormat="1" ht="24.75" thickBot="1" x14ac:dyDescent="0.25">
      <c r="AQ66" s="140" t="s">
        <v>301</v>
      </c>
      <c r="AR66" s="144">
        <f>M25</f>
        <v>0</v>
      </c>
      <c r="AS66" s="145"/>
    </row>
    <row r="67" spans="43:45" s="120" customFormat="1" ht="13.5" thickBot="1" x14ac:dyDescent="0.25">
      <c r="AQ67" s="140" t="s">
        <v>302</v>
      </c>
      <c r="AR67" s="142">
        <f>U25</f>
        <v>0</v>
      </c>
      <c r="AS67" s="145"/>
    </row>
    <row r="68" spans="43:45" s="120" customFormat="1" ht="24.75" thickBot="1" x14ac:dyDescent="0.25">
      <c r="AQ68" s="138" t="s">
        <v>303</v>
      </c>
      <c r="AR68" s="144">
        <f>X25</f>
        <v>0</v>
      </c>
      <c r="AS68" s="146"/>
    </row>
    <row r="69" spans="43:45" s="120" customFormat="1" ht="13.5" thickBot="1" x14ac:dyDescent="0.25">
      <c r="AQ69" s="147" t="s">
        <v>304</v>
      </c>
      <c r="AR69" s="148">
        <f>E30</f>
        <v>0</v>
      </c>
      <c r="AS69" s="146"/>
    </row>
    <row r="70" spans="43:45" s="120" customFormat="1" ht="13.5" thickBot="1" x14ac:dyDescent="0.25">
      <c r="AQ70" s="147" t="s">
        <v>305</v>
      </c>
      <c r="AR70" s="149">
        <f>H30</f>
        <v>0</v>
      </c>
      <c r="AS70" s="145"/>
    </row>
    <row r="71" spans="43:45" s="120" customFormat="1" ht="13.5" thickBot="1" x14ac:dyDescent="0.25">
      <c r="AQ71" s="150" t="s">
        <v>306</v>
      </c>
      <c r="AR71" s="149">
        <f>N30</f>
        <v>0</v>
      </c>
      <c r="AS71" s="145"/>
    </row>
    <row r="72" spans="43:45" s="120" customFormat="1" ht="15.75" customHeight="1" thickBot="1" x14ac:dyDescent="0.25">
      <c r="AQ72" s="150" t="s">
        <v>307</v>
      </c>
      <c r="AR72" s="148">
        <f>E31</f>
        <v>0</v>
      </c>
      <c r="AS72" s="145"/>
    </row>
    <row r="73" spans="43:45" s="120" customFormat="1" ht="20.25" customHeight="1" thickBot="1" x14ac:dyDescent="0.25">
      <c r="AQ73" s="150" t="s">
        <v>308</v>
      </c>
      <c r="AR73" s="149">
        <f>H31</f>
        <v>0</v>
      </c>
    </row>
    <row r="74" spans="43:45" s="120" customFormat="1" ht="12.75" customHeight="1" thickBot="1" x14ac:dyDescent="0.25">
      <c r="AQ74" s="150" t="s">
        <v>309</v>
      </c>
      <c r="AR74" s="151">
        <f>N31</f>
        <v>0</v>
      </c>
    </row>
    <row r="75" spans="43:45" s="120" customFormat="1" ht="16.5" customHeight="1" thickBot="1" x14ac:dyDescent="0.25">
      <c r="AQ75" s="150" t="s">
        <v>310</v>
      </c>
      <c r="AR75" s="149">
        <f>E32</f>
        <v>0</v>
      </c>
    </row>
    <row r="76" spans="43:45" s="120" customFormat="1" ht="26.25" customHeight="1" thickBot="1" x14ac:dyDescent="0.25">
      <c r="AQ76" s="150" t="s">
        <v>311</v>
      </c>
      <c r="AR76" s="151">
        <f>H32</f>
        <v>0</v>
      </c>
    </row>
    <row r="77" spans="43:45" s="120" customFormat="1" ht="18" customHeight="1" thickBot="1" x14ac:dyDescent="0.25">
      <c r="AQ77" s="150" t="s">
        <v>312</v>
      </c>
      <c r="AR77" s="149">
        <f>N32</f>
        <v>0</v>
      </c>
    </row>
    <row r="78" spans="43:45" s="120" customFormat="1" ht="15.75" customHeight="1" thickBot="1" x14ac:dyDescent="0.25">
      <c r="AQ78" s="150" t="s">
        <v>313</v>
      </c>
      <c r="AR78" s="152">
        <f>E33</f>
        <v>0</v>
      </c>
    </row>
    <row r="79" spans="43:45" s="120" customFormat="1" ht="25.5" customHeight="1" thickBot="1" x14ac:dyDescent="0.25">
      <c r="AQ79" s="150" t="s">
        <v>314</v>
      </c>
      <c r="AR79" s="149">
        <f>H33</f>
        <v>0</v>
      </c>
    </row>
    <row r="80" spans="43:45" s="120" customFormat="1" ht="30.75" customHeight="1" thickBot="1" x14ac:dyDescent="0.25">
      <c r="AQ80" s="150" t="s">
        <v>315</v>
      </c>
      <c r="AR80" s="149">
        <f>N33</f>
        <v>0</v>
      </c>
    </row>
    <row r="81" spans="43:45" s="120" customFormat="1" ht="31.5" customHeight="1" thickBot="1" x14ac:dyDescent="0.25">
      <c r="AQ81" s="150" t="s">
        <v>316</v>
      </c>
      <c r="AR81" s="149">
        <f>E34</f>
        <v>0</v>
      </c>
    </row>
    <row r="82" spans="43:45" s="120" customFormat="1" ht="26.25" customHeight="1" thickBot="1" x14ac:dyDescent="0.25">
      <c r="AQ82" s="150" t="s">
        <v>317</v>
      </c>
      <c r="AR82" s="149">
        <f>H34</f>
        <v>0</v>
      </c>
    </row>
    <row r="83" spans="43:45" s="120" customFormat="1" ht="30.75" customHeight="1" thickBot="1" x14ac:dyDescent="0.25">
      <c r="AQ83" s="150" t="s">
        <v>318</v>
      </c>
      <c r="AR83" s="153">
        <f>N34</f>
        <v>0</v>
      </c>
    </row>
    <row r="84" spans="43:45" s="120" customFormat="1" ht="32.25" customHeight="1" thickBot="1" x14ac:dyDescent="0.25">
      <c r="AQ84" s="150" t="s">
        <v>319</v>
      </c>
      <c r="AR84" s="148">
        <f>E35</f>
        <v>0</v>
      </c>
    </row>
    <row r="85" spans="43:45" s="120" customFormat="1" ht="36" customHeight="1" thickBot="1" x14ac:dyDescent="0.25">
      <c r="AQ85" s="154" t="s">
        <v>320</v>
      </c>
      <c r="AR85" s="153">
        <f>H35</f>
        <v>0</v>
      </c>
    </row>
    <row r="86" spans="43:45" s="120" customFormat="1" ht="24.75" thickBot="1" x14ac:dyDescent="0.25">
      <c r="AQ86" s="140" t="s">
        <v>321</v>
      </c>
      <c r="AR86" s="149">
        <f>K35</f>
        <v>0</v>
      </c>
    </row>
    <row r="87" spans="43:45" s="120" customFormat="1" ht="24.75" customHeight="1" thickBot="1" x14ac:dyDescent="0.25">
      <c r="AQ87" s="155" t="s">
        <v>322</v>
      </c>
      <c r="AR87" s="149">
        <f>N35</f>
        <v>0</v>
      </c>
    </row>
    <row r="88" spans="43:45" s="120" customFormat="1" ht="15" customHeight="1" thickBot="1" x14ac:dyDescent="0.25">
      <c r="AQ88" s="155" t="s">
        <v>323</v>
      </c>
      <c r="AR88" s="148">
        <f>E36</f>
        <v>0</v>
      </c>
    </row>
    <row r="89" spans="43:45" s="120" customFormat="1" ht="27" customHeight="1" thickBot="1" x14ac:dyDescent="0.25">
      <c r="AQ89" s="140" t="s">
        <v>324</v>
      </c>
      <c r="AR89" s="153">
        <f>H36</f>
        <v>0</v>
      </c>
    </row>
    <row r="90" spans="43:45" s="120" customFormat="1" ht="33" customHeight="1" thickBot="1" x14ac:dyDescent="0.25">
      <c r="AQ90" s="155" t="s">
        <v>325</v>
      </c>
      <c r="AR90" s="149">
        <f>K36</f>
        <v>0</v>
      </c>
    </row>
    <row r="91" spans="43:45" s="120" customFormat="1" ht="33.75" customHeight="1" thickBot="1" x14ac:dyDescent="0.25">
      <c r="AQ91" s="155" t="s">
        <v>326</v>
      </c>
      <c r="AR91" s="149">
        <f>N36</f>
        <v>0</v>
      </c>
      <c r="AS91" s="156"/>
    </row>
    <row r="92" spans="43:45" s="120" customFormat="1" ht="26.25" thickBot="1" x14ac:dyDescent="0.25">
      <c r="AQ92" s="155" t="s">
        <v>327</v>
      </c>
      <c r="AR92" s="148">
        <f>E38</f>
        <v>0</v>
      </c>
    </row>
    <row r="93" spans="43:45" s="120" customFormat="1" ht="24.75" thickBot="1" x14ac:dyDescent="0.25">
      <c r="AQ93" s="140" t="s">
        <v>324</v>
      </c>
      <c r="AR93" s="153">
        <f>H38</f>
        <v>0</v>
      </c>
    </row>
    <row r="94" spans="43:45" s="120" customFormat="1" ht="24.75" thickBot="1" x14ac:dyDescent="0.25">
      <c r="AQ94" s="140" t="s">
        <v>325</v>
      </c>
      <c r="AR94" s="149">
        <f>K38</f>
        <v>0</v>
      </c>
    </row>
    <row r="95" spans="43:45" s="120" customFormat="1" ht="24.75" thickBot="1" x14ac:dyDescent="0.25">
      <c r="AQ95" s="140" t="s">
        <v>328</v>
      </c>
      <c r="AR95" s="149">
        <f>N38</f>
        <v>0</v>
      </c>
    </row>
    <row r="96" spans="43:45" s="120" customFormat="1" ht="24.75" thickBot="1" x14ac:dyDescent="0.25">
      <c r="AQ96" s="140" t="s">
        <v>329</v>
      </c>
      <c r="AR96" s="157">
        <f>E39</f>
        <v>0</v>
      </c>
    </row>
    <row r="97" spans="43:44" s="120" customFormat="1" ht="24.75" thickBot="1" x14ac:dyDescent="0.25">
      <c r="AQ97" s="140" t="s">
        <v>330</v>
      </c>
      <c r="AR97" s="153">
        <f>N39</f>
        <v>0</v>
      </c>
    </row>
    <row r="98" spans="43:44" s="120" customFormat="1" ht="13.5" thickBot="1" x14ac:dyDescent="0.25">
      <c r="AQ98" s="155" t="s">
        <v>331</v>
      </c>
      <c r="AR98" s="157">
        <f>E41</f>
        <v>0</v>
      </c>
    </row>
    <row r="99" spans="43:44" s="120" customFormat="1" ht="13.5" thickBot="1" x14ac:dyDescent="0.25">
      <c r="AQ99" s="155" t="s">
        <v>332</v>
      </c>
      <c r="AR99" s="149">
        <f>N41</f>
        <v>0</v>
      </c>
    </row>
    <row r="100" spans="43:44" s="120" customFormat="1" ht="13.5" thickBot="1" x14ac:dyDescent="0.25">
      <c r="AQ100" s="155" t="s">
        <v>333</v>
      </c>
      <c r="AR100" s="149">
        <f>N42</f>
        <v>1.8900000000000001</v>
      </c>
    </row>
    <row r="101" spans="43:44" s="120" customFormat="1" ht="13.5" thickBot="1" x14ac:dyDescent="0.25">
      <c r="AQ101" s="155" t="str">
        <f>A43</f>
        <v>∑</v>
      </c>
      <c r="AR101" s="148">
        <f>E43</f>
        <v>0</v>
      </c>
    </row>
    <row r="102" spans="43:44" s="120" customFormat="1" ht="13.5" thickBot="1" x14ac:dyDescent="0.25">
      <c r="AQ102" s="155" t="s">
        <v>334</v>
      </c>
      <c r="AR102" s="149">
        <f>N43</f>
        <v>1.89</v>
      </c>
    </row>
    <row r="103" spans="43:44" s="120" customFormat="1" ht="13.5" thickBot="1" x14ac:dyDescent="0.25">
      <c r="AQ103" s="147" t="s">
        <v>335</v>
      </c>
      <c r="AR103" s="157" t="str">
        <f>AA28</f>
        <v/>
      </c>
    </row>
    <row r="104" spans="43:44" s="120" customFormat="1" ht="13.5" thickBot="1" x14ac:dyDescent="0.25">
      <c r="AQ104" s="147" t="s">
        <v>336</v>
      </c>
      <c r="AR104" s="157" t="str">
        <f>AA29</f>
        <v/>
      </c>
    </row>
    <row r="105" spans="43:44" s="120" customFormat="1" ht="13.5" thickBot="1" x14ac:dyDescent="0.25">
      <c r="AQ105" s="147" t="s">
        <v>337</v>
      </c>
      <c r="AR105" s="148">
        <f>AA30</f>
        <v>0</v>
      </c>
    </row>
    <row r="106" spans="43:44" s="120" customFormat="1" ht="13.5" thickBot="1" x14ac:dyDescent="0.25">
      <c r="AQ106" s="147" t="s">
        <v>338</v>
      </c>
      <c r="AR106" s="149" t="str">
        <f>AA31&amp;AC31</f>
        <v/>
      </c>
    </row>
    <row r="107" spans="43:44" s="120" customFormat="1" ht="13.5" thickBot="1" x14ac:dyDescent="0.25">
      <c r="AQ107" s="147" t="s">
        <v>339</v>
      </c>
      <c r="AR107" s="149" t="str">
        <f>AA32&amp;AC32</f>
        <v/>
      </c>
    </row>
    <row r="108" spans="43:44" s="120" customFormat="1" ht="13.5" thickBot="1" x14ac:dyDescent="0.25">
      <c r="AQ108" s="147" t="s">
        <v>340</v>
      </c>
      <c r="AR108" s="149" t="str">
        <f>AA33</f>
        <v/>
      </c>
    </row>
    <row r="109" spans="43:44" s="120" customFormat="1" ht="13.5" thickBot="1" x14ac:dyDescent="0.25">
      <c r="AQ109" s="147" t="s">
        <v>244</v>
      </c>
      <c r="AR109" s="148" t="str">
        <f t="shared" ref="AR109:AR111" si="0">AA34</f>
        <v/>
      </c>
    </row>
    <row r="110" spans="43:44" s="120" customFormat="1" ht="13.5" thickBot="1" x14ac:dyDescent="0.25">
      <c r="AQ110" s="147" t="s">
        <v>341</v>
      </c>
      <c r="AR110" s="148" t="str">
        <f t="shared" si="0"/>
        <v/>
      </c>
    </row>
    <row r="111" spans="43:44" s="120" customFormat="1" ht="13.5" thickBot="1" x14ac:dyDescent="0.25">
      <c r="AQ111" s="147" t="s">
        <v>342</v>
      </c>
      <c r="AR111" s="157" t="str">
        <f t="shared" si="0"/>
        <v/>
      </c>
    </row>
    <row r="112" spans="43:44" s="120" customFormat="1" ht="13.5" thickBot="1" x14ac:dyDescent="0.25">
      <c r="AQ112" s="147" t="s">
        <v>254</v>
      </c>
      <c r="AR112" s="153" t="e">
        <f t="shared" ref="AR112:AR117" si="1">AA38</f>
        <v>#DIV/0!</v>
      </c>
    </row>
    <row r="113" spans="33:44" s="120" customFormat="1" ht="13.5" thickBot="1" x14ac:dyDescent="0.25">
      <c r="AQ113" s="147" t="s">
        <v>257</v>
      </c>
      <c r="AR113" s="157" t="str">
        <f t="shared" si="1"/>
        <v>ERROR!</v>
      </c>
    </row>
    <row r="114" spans="33:44" s="120" customFormat="1" ht="13.5" thickBot="1" x14ac:dyDescent="0.25">
      <c r="AQ114" s="147" t="s">
        <v>260</v>
      </c>
      <c r="AR114" s="148" t="str">
        <f t="shared" si="1"/>
        <v/>
      </c>
    </row>
    <row r="115" spans="33:44" ht="13.5" thickBot="1" x14ac:dyDescent="0.25">
      <c r="AG115" s="120"/>
      <c r="AI115" s="120"/>
      <c r="AJ115" s="120"/>
      <c r="AK115" s="120"/>
      <c r="AL115" s="120"/>
      <c r="AM115" s="120"/>
      <c r="AN115" s="120"/>
      <c r="AO115" s="120"/>
      <c r="AP115" s="120"/>
      <c r="AQ115" s="212" t="s">
        <v>263</v>
      </c>
      <c r="AR115" s="30" t="str">
        <f t="shared" si="1"/>
        <v/>
      </c>
    </row>
    <row r="116" spans="33:44" ht="13.5" thickBot="1" x14ac:dyDescent="0.25">
      <c r="AG116" s="120"/>
      <c r="AQ116" s="212" t="str">
        <f>IF(OR(AS73=501,AS73="730*"),"*** % Passing 1 inch sieve","% Passing 1 inch sieve")</f>
        <v>% Passing 1 inch sieve</v>
      </c>
      <c r="AR116" s="30" t="str">
        <f t="shared" si="1"/>
        <v/>
      </c>
    </row>
    <row r="117" spans="33:44" ht="13.5" thickBot="1" x14ac:dyDescent="0.25">
      <c r="AG117" s="120"/>
      <c r="AQ117" s="212" t="str">
        <f>IF(OR(AS73=501,AS73="730*"), "** % Passing No. 200 sieve","% Passing No. 200 sieve")</f>
        <v>% Passing No. 200 sieve</v>
      </c>
      <c r="AR117" s="31" t="str">
        <f t="shared" si="1"/>
        <v/>
      </c>
    </row>
  </sheetData>
  <sheetProtection algorithmName="SHA-512" hashValue="N529/b4llZjP6/P3YMsBlALZZ64+L1lmodHvKvHEbupBWIlfMTTsmnkFa1RBRQ2Ag0e/aXmLM18EaZcGffpmZg==" saltValue="VsOeHGaVZbUbH+H+G0e46w==" spinCount="100000" sheet="1" formatCells="0" selectLockedCells="1"/>
  <dataConsolidate/>
  <mergeCells count="256">
    <mergeCell ref="N42:P42"/>
    <mergeCell ref="D14:T14"/>
    <mergeCell ref="V26:Y26"/>
    <mergeCell ref="S26:U26"/>
    <mergeCell ref="U24:W24"/>
    <mergeCell ref="N33:P33"/>
    <mergeCell ref="S39:Z39"/>
    <mergeCell ref="N38:P38"/>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E29:G29"/>
    <mergeCell ref="D9:O9"/>
    <mergeCell ref="D10:O10"/>
    <mergeCell ref="D11:O11"/>
    <mergeCell ref="N29:P29"/>
    <mergeCell ref="N31:P31"/>
    <mergeCell ref="A35:A38"/>
    <mergeCell ref="H35:J35"/>
    <mergeCell ref="AA37:AC37"/>
    <mergeCell ref="P9:R9"/>
    <mergeCell ref="P10:R10"/>
    <mergeCell ref="P11:R11"/>
    <mergeCell ref="AA13:AC13"/>
    <mergeCell ref="A9:C9"/>
    <mergeCell ref="M21:T21"/>
    <mergeCell ref="A22:C22"/>
    <mergeCell ref="D22:L22"/>
    <mergeCell ref="A26:I26"/>
    <mergeCell ref="J26:K26"/>
    <mergeCell ref="Q26:R26"/>
    <mergeCell ref="E32:G32"/>
    <mergeCell ref="H29:J29"/>
    <mergeCell ref="H28:J28"/>
    <mergeCell ref="A28:D29"/>
    <mergeCell ref="H32:J32"/>
    <mergeCell ref="Y8:Z8"/>
    <mergeCell ref="Y9:Z9"/>
    <mergeCell ref="S10:U10"/>
    <mergeCell ref="S9:U9"/>
    <mergeCell ref="U20:W20"/>
    <mergeCell ref="A39:D40"/>
    <mergeCell ref="AA40:AC40"/>
    <mergeCell ref="K35:M35"/>
    <mergeCell ref="H36:J36"/>
    <mergeCell ref="AA14:AC14"/>
    <mergeCell ref="V9:X9"/>
    <mergeCell ref="M12:R12"/>
    <mergeCell ref="A18:AC18"/>
    <mergeCell ref="A19:C19"/>
    <mergeCell ref="D19:L19"/>
    <mergeCell ref="A21:C21"/>
    <mergeCell ref="D21:L21"/>
    <mergeCell ref="K12:L12"/>
    <mergeCell ref="D20:L20"/>
    <mergeCell ref="A14:C14"/>
    <mergeCell ref="X12:AA12"/>
    <mergeCell ref="A11:C11"/>
    <mergeCell ref="A8:C8"/>
    <mergeCell ref="D8:O8"/>
    <mergeCell ref="P8:R8"/>
    <mergeCell ref="A16:C16"/>
    <mergeCell ref="D16:T16"/>
    <mergeCell ref="A17:C17"/>
    <mergeCell ref="D17:T17"/>
    <mergeCell ref="A33:D33"/>
    <mergeCell ref="V8:X8"/>
    <mergeCell ref="S28:Z28"/>
    <mergeCell ref="S8:U8"/>
    <mergeCell ref="M22:T22"/>
    <mergeCell ref="U22:W22"/>
    <mergeCell ref="X22:AC22"/>
    <mergeCell ref="U21:W21"/>
    <mergeCell ref="X21:AC21"/>
    <mergeCell ref="U16:Y16"/>
    <mergeCell ref="M19:T19"/>
    <mergeCell ref="U19:W19"/>
    <mergeCell ref="X19:AC19"/>
    <mergeCell ref="N28:P28"/>
    <mergeCell ref="A27:P27"/>
    <mergeCell ref="S27:AC27"/>
    <mergeCell ref="AB12:AC12"/>
    <mergeCell ref="A10:C10"/>
    <mergeCell ref="V11:X11"/>
    <mergeCell ref="E28:G28"/>
    <mergeCell ref="A7:AC7"/>
    <mergeCell ref="G4:O4"/>
    <mergeCell ref="G5:O5"/>
    <mergeCell ref="A5:F5"/>
    <mergeCell ref="P4:U4"/>
    <mergeCell ref="A4:F4"/>
    <mergeCell ref="P5:U5"/>
    <mergeCell ref="V5:AC5"/>
    <mergeCell ref="G6:N6"/>
    <mergeCell ref="A6:F6"/>
    <mergeCell ref="V6:AC6"/>
    <mergeCell ref="X24:AC24"/>
    <mergeCell ref="X25:AC25"/>
    <mergeCell ref="AA15:AC15"/>
    <mergeCell ref="AA17:AC17"/>
    <mergeCell ref="AA16:AC16"/>
    <mergeCell ref="U15:Y15"/>
    <mergeCell ref="A25:C25"/>
    <mergeCell ref="D25:L25"/>
    <mergeCell ref="M25:T25"/>
    <mergeCell ref="U25:W25"/>
    <mergeCell ref="U17:Y17"/>
    <mergeCell ref="AA39:AC39"/>
    <mergeCell ref="A1:AD1"/>
    <mergeCell ref="A13:Y13"/>
    <mergeCell ref="AA8:AC8"/>
    <mergeCell ref="AA9:AC9"/>
    <mergeCell ref="AA10:AC10"/>
    <mergeCell ref="S11:U11"/>
    <mergeCell ref="U14:Y14"/>
    <mergeCell ref="O6:U6"/>
    <mergeCell ref="S12:V12"/>
    <mergeCell ref="AA11:AC11"/>
    <mergeCell ref="A12:J12"/>
    <mergeCell ref="A2:F2"/>
    <mergeCell ref="Y10:Z10"/>
    <mergeCell ref="Y11:Z11"/>
    <mergeCell ref="V10:X10"/>
    <mergeCell ref="P2:U2"/>
    <mergeCell ref="V2:AC2"/>
    <mergeCell ref="V3:AC3"/>
    <mergeCell ref="V4:AC4"/>
    <mergeCell ref="G2:O2"/>
    <mergeCell ref="G3:O3"/>
    <mergeCell ref="A3:F3"/>
    <mergeCell ref="P3:U3"/>
    <mergeCell ref="A43:D43"/>
    <mergeCell ref="N39:P40"/>
    <mergeCell ref="M46:AC46"/>
    <mergeCell ref="AA41:AC41"/>
    <mergeCell ref="S41:Z41"/>
    <mergeCell ref="S42:Z42"/>
    <mergeCell ref="S34:Z34"/>
    <mergeCell ref="AA36:AC36"/>
    <mergeCell ref="S32:Z32"/>
    <mergeCell ref="N35:P35"/>
    <mergeCell ref="S37:Z37"/>
    <mergeCell ref="N37:P37"/>
    <mergeCell ref="N36:P36"/>
    <mergeCell ref="AA35:AC35"/>
    <mergeCell ref="K43:M43"/>
    <mergeCell ref="N43:P43"/>
    <mergeCell ref="S45:Z45"/>
    <mergeCell ref="AA45:AB45"/>
    <mergeCell ref="S40:Z40"/>
    <mergeCell ref="AA42:AC42"/>
    <mergeCell ref="K42:M42"/>
    <mergeCell ref="S35:Z35"/>
    <mergeCell ref="S36:Z36"/>
    <mergeCell ref="S38:Z38"/>
    <mergeCell ref="AA44:AC44"/>
    <mergeCell ref="G50:AC50"/>
    <mergeCell ref="M47:W47"/>
    <mergeCell ref="Z47:AC47"/>
    <mergeCell ref="X47:Y47"/>
    <mergeCell ref="E43:G43"/>
    <mergeCell ref="H43:J43"/>
    <mergeCell ref="S43:Z43"/>
    <mergeCell ref="AA43:AC43"/>
    <mergeCell ref="K41:M41"/>
    <mergeCell ref="N41:P41"/>
    <mergeCell ref="H38:J38"/>
    <mergeCell ref="E38:G38"/>
    <mergeCell ref="A57:Z57"/>
    <mergeCell ref="A44:G44"/>
    <mergeCell ref="J44:M44"/>
    <mergeCell ref="H44:I44"/>
    <mergeCell ref="Z48:AC48"/>
    <mergeCell ref="A50:F50"/>
    <mergeCell ref="A53:D53"/>
    <mergeCell ref="AA57:AD57"/>
    <mergeCell ref="N48:Y48"/>
    <mergeCell ref="P49:Y49"/>
    <mergeCell ref="Z49:AC49"/>
    <mergeCell ref="N44:P44"/>
    <mergeCell ref="A51:AC51"/>
    <mergeCell ref="A52:AC52"/>
    <mergeCell ref="E53:AC53"/>
    <mergeCell ref="A54:AC54"/>
    <mergeCell ref="A46:L46"/>
    <mergeCell ref="A55:AC55"/>
    <mergeCell ref="A56:AC56"/>
    <mergeCell ref="S44:Z44"/>
    <mergeCell ref="E33:G33"/>
    <mergeCell ref="E35:G35"/>
    <mergeCell ref="H30:J30"/>
    <mergeCell ref="K36:M36"/>
    <mergeCell ref="K37:M37"/>
    <mergeCell ref="E30:G30"/>
    <mergeCell ref="E42:G42"/>
    <mergeCell ref="E41:G41"/>
    <mergeCell ref="A31:D31"/>
    <mergeCell ref="A32:D32"/>
    <mergeCell ref="K32:M32"/>
    <mergeCell ref="K31:M31"/>
    <mergeCell ref="H31:J31"/>
    <mergeCell ref="H41:J41"/>
    <mergeCell ref="H42:J42"/>
    <mergeCell ref="A41:D41"/>
    <mergeCell ref="H33:J33"/>
    <mergeCell ref="K39:M40"/>
    <mergeCell ref="E34:G34"/>
    <mergeCell ref="H34:J34"/>
    <mergeCell ref="K34:M34"/>
    <mergeCell ref="K30:M30"/>
    <mergeCell ref="A42:B42"/>
    <mergeCell ref="C42:D42"/>
    <mergeCell ref="K29:M29"/>
    <mergeCell ref="Z26:AA26"/>
    <mergeCell ref="N34:P34"/>
    <mergeCell ref="K33:M33"/>
    <mergeCell ref="AA33:AC33"/>
    <mergeCell ref="AA32:AB32"/>
    <mergeCell ref="AA34:AC34"/>
    <mergeCell ref="S33:Z33"/>
    <mergeCell ref="S30:Z30"/>
    <mergeCell ref="S31:Z31"/>
    <mergeCell ref="S29:Z29"/>
    <mergeCell ref="AA31:AB31"/>
    <mergeCell ref="AA30:AC30"/>
    <mergeCell ref="AA29:AC29"/>
    <mergeCell ref="AA28:AC28"/>
    <mergeCell ref="N30:P30"/>
    <mergeCell ref="AB26:AC26"/>
    <mergeCell ref="L26:P26"/>
    <mergeCell ref="K28:M28"/>
    <mergeCell ref="N32:P32"/>
    <mergeCell ref="A24:C24"/>
    <mergeCell ref="D24:L24"/>
    <mergeCell ref="M24:T24"/>
    <mergeCell ref="A20:C20"/>
    <mergeCell ref="X20:AC20"/>
    <mergeCell ref="A23:C23"/>
    <mergeCell ref="D23:L23"/>
    <mergeCell ref="U23:W23"/>
    <mergeCell ref="X23:AC23"/>
    <mergeCell ref="M23:T23"/>
    <mergeCell ref="M20:T20"/>
  </mergeCells>
  <phoneticPr fontId="2" type="noConversion"/>
  <conditionalFormatting sqref="E42:G42">
    <cfRule type="cellIs" dxfId="51" priority="89" stopIfTrue="1" operator="between">
      <formula>0.45</formula>
      <formula>0.439</formula>
    </cfRule>
  </conditionalFormatting>
  <conditionalFormatting sqref="N44:P45">
    <cfRule type="containsText" dxfId="50" priority="74" stopIfTrue="1" operator="containsText" text="ERROR!">
      <formula>NOT(ISERROR(SEARCH("ERROR!",N44)))</formula>
    </cfRule>
    <cfRule type="containsText" dxfId="49" priority="75" stopIfTrue="1" operator="containsText" text="Correct">
      <formula>NOT(ISERROR(SEARCH("Correct",N44)))</formula>
    </cfRule>
  </conditionalFormatting>
  <conditionalFormatting sqref="N43:P43">
    <cfRule type="cellIs" dxfId="48" priority="71" stopIfTrue="1" operator="lessThan">
      <formula>27</formula>
    </cfRule>
    <cfRule type="cellIs" dxfId="47" priority="73" stopIfTrue="1" operator="greaterThan">
      <formula>27</formula>
    </cfRule>
  </conditionalFormatting>
  <conditionalFormatting sqref="V6:AC6">
    <cfRule type="containsText" dxfId="46" priority="72" stopIfTrue="1" operator="containsText" text="502 High Early Strength Modified">
      <formula>NOT(ISERROR(SEARCH("502 High Early Strength Modified",V6)))</formula>
    </cfRule>
  </conditionalFormatting>
  <conditionalFormatting sqref="A15:A17 AD20:AF24 AG25:AG35 AH20:AH24 AI21:AM25">
    <cfRule type="containsErrors" dxfId="45" priority="70" stopIfTrue="1">
      <formula>ISERROR(A15)</formula>
    </cfRule>
  </conditionalFormatting>
  <conditionalFormatting sqref="A9:C11">
    <cfRule type="containsErrors" dxfId="44" priority="33">
      <formula>ISERROR(A9)</formula>
    </cfRule>
  </conditionalFormatting>
  <conditionalFormatting sqref="A24:L24 U24:AC24">
    <cfRule type="containsErrors" dxfId="43" priority="32">
      <formula>ISERROR(A24)</formula>
    </cfRule>
  </conditionalFormatting>
  <conditionalFormatting sqref="U20:AC23 A20:L24">
    <cfRule type="containsErrors" dxfId="42" priority="31">
      <formula>ISERROR(A20)</formula>
    </cfRule>
  </conditionalFormatting>
  <conditionalFormatting sqref="J26:K26">
    <cfRule type="expression" dxfId="41" priority="21">
      <formula>$A$26="concentration of CaCl₂ is"</formula>
    </cfRule>
  </conditionalFormatting>
  <conditionalFormatting sqref="Q26:R26">
    <cfRule type="expression" dxfId="40" priority="20">
      <formula>$A$26="concentration of CaCl₂ is"</formula>
    </cfRule>
  </conditionalFormatting>
  <conditionalFormatting sqref="N30:P36 N38:P42 N37">
    <cfRule type="cellIs" dxfId="39" priority="19" operator="equal">
      <formula>0</formula>
    </cfRule>
  </conditionalFormatting>
  <conditionalFormatting sqref="AA31:AC36 AA37:AB37 AA38:AC44 AC45">
    <cfRule type="cellIs" dxfId="38" priority="18" stopIfTrue="1" operator="equal">
      <formula>0</formula>
    </cfRule>
  </conditionalFormatting>
  <conditionalFormatting sqref="G6:N6">
    <cfRule type="containsText" dxfId="37" priority="17" operator="containsText" text="Mix ID Required">
      <formula>NOT(ISERROR(SEARCH("Mix ID Required",G6)))</formula>
    </cfRule>
  </conditionalFormatting>
  <conditionalFormatting sqref="AA36:AC36">
    <cfRule type="cellIs" dxfId="36" priority="2" operator="equal">
      <formula>"Yes"</formula>
    </cfRule>
    <cfRule type="cellIs" dxfId="35" priority="5" operator="equal">
      <formula>"No"</formula>
    </cfRule>
    <cfRule type="cellIs" dxfId="34" priority="6" operator="equal">
      <formula>"No"</formula>
    </cfRule>
  </conditionalFormatting>
  <conditionalFormatting sqref="AA37:AB37">
    <cfRule type="cellIs" dxfId="33" priority="3" operator="equal">
      <formula>"Yes"</formula>
    </cfRule>
    <cfRule type="cellIs" dxfId="32" priority="4" operator="equal">
      <formula>"No"</formula>
    </cfRule>
  </conditionalFormatting>
  <conditionalFormatting sqref="D9:D11">
    <cfRule type="containsErrors" dxfId="31" priority="1">
      <formula>ISERROR(D9)</formula>
    </cfRule>
  </conditionalFormatting>
  <dataValidations count="19">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5:AC5" xr:uid="{00000000-0002-0000-0100-000004000000}">
      <formula1>"CMDS,CMDP,CMDS(2),CMDP(2),CMDS(3),CMDP(3),CMDS(4),CMDP(4)"</formula1>
    </dataValidation>
    <dataValidation allowBlank="1" showInputMessage="1" showErrorMessage="1" promptTitle="Entry Applies to 501 Concrete" prompt="Review coarse aggregate gradation. Enter the percentage of dry material passing the specified sieve." sqref="W12" xr:uid="{00000000-0002-0000-0100-000005000000}"/>
    <dataValidation allowBlank="1" showInputMessage="1" showErrorMessage="1" promptTitle="Entry Applies to 501 Concrete" prompt="Review fine aggregate gradation. Enter the percentage of dry material passing the specified sieve." sqref="AB12:AC12" xr:uid="{00000000-0002-0000-0100-000006000000}"/>
    <dataValidation allowBlank="1" showInputMessage="1" showErrorMessage="1" promptTitle="Entry Applies to 501 Concrete" prompt="Review QA coarse aggregate gradation. Enter the percentage of dry aggregate passing the 1 inch sieve." sqref="K12:L12" xr:uid="{00000000-0002-0000-0100-000007000000}"/>
    <dataValidation type="list" allowBlank="1" showInputMessage="1" showErrorMessage="1" sqref="V9:X11" xr:uid="{00000000-0002-0000-0100-000008000000}">
      <formula1>"CS, Gvl, CGvl, BF, NS"</formula1>
    </dataValidation>
    <dataValidation type="list" allowBlank="1" showInputMessage="1" showErrorMessage="1" sqref="Y9:Z11" xr:uid="{00000000-0002-0000-0100-000009000000}">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0000000-0002-0000-0100-00000A000000}"/>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28E3236D-F65E-472E-A410-3E4C6B20F42F}">
      <formula1>54877</formula1>
    </dataValidation>
    <dataValidation type="list" allowBlank="1" showInputMessage="1" showErrorMessage="1" sqref="U15:Y17" xr:uid="{4A7F48A6-E78F-4878-A327-7A6F9365A2B8}">
      <formula1>$AG$19:$AG$35</formula1>
    </dataValidation>
    <dataValidation type="list" allowBlank="1" showInputMessage="1" showErrorMessage="1" sqref="V6:AC6" xr:uid="{00000000-0002-0000-0100-000011000000}">
      <formula1>$AG$4:$AG$18</formula1>
    </dataValidation>
    <dataValidation type="list" allowBlank="1" showInputMessage="1" showErrorMessage="1" sqref="S9:U11" xr:uid="{62D8BFD6-0FE7-40A6-8692-58735E26D479}">
      <formula1>"#8, #11,#12, #23, QA#3, QA#4, QA#5"</formula1>
    </dataValidation>
    <dataValidation type="list" allowBlank="1" showInputMessage="1" showErrorMessage="1" sqref="V4:AB4" xr:uid="{1DB4BD05-558D-41B5-9B1B-4E1C2E915FD8}">
      <formula1>"Crawfordsville, Fort Wayne, Greenfield, LaPorte, Seymour, Vincennes"</formula1>
    </dataValidation>
  </dataValidations>
  <printOptions horizontalCentered="1" verticalCentered="1"/>
  <pageMargins left="0.5" right="0" top="0" bottom="0" header="0" footer="0"/>
  <pageSetup scale="83" orientation="portrait" r:id="rId1"/>
  <headerFooter alignWithMargins="0"/>
  <ignoredErrors>
    <ignoredError sqref="B26:I26 T26:U26 W26:AC26 B11:C11 A16 AB28:AC28 V22:W22 V20:W20 V21:W21 B22:C22 B20:C20 B21:D21 E20:L20 E24:L24 B24:C24 A21 A24 A22 U22 D24 U24:W24 A20 U20 E21:L21 D20 U21 AA39:AC39 AB40:AC40 Y22:AC22 Y20:AC20 Y21:AC21 X20 X24:AC24 X21 X22 AB36:AC36 AB37:AC37 AA38:AC38 A23:L23 B10:C10 U23:AC23" evalError="1"/>
    <ignoredError sqref="A15:C15 B9:C9 A17:C17 B16:C16" evalError="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13000000}">
          <x14:formula1>
            <xm:f>Sheet2!$L$55:$L$56</xm:f>
          </x14:formula1>
          <xm:sqref>U25:W25</xm:sqref>
        </x14:dataValidation>
        <x14:dataValidation type="list" allowBlank="1" showInputMessage="1" showErrorMessage="1" xr:uid="{00000000-0002-0000-0100-000015000000}">
          <x14:formula1>
            <xm:f>Sheet2!$H$55:$H$56</xm:f>
          </x14:formula1>
          <xm:sqref>C42:D42</xm:sqref>
        </x14:dataValidation>
        <x14:dataValidation type="list" allowBlank="1" showInputMessage="1" showErrorMessage="1" xr:uid="{00000000-0002-0000-0100-000017000000}">
          <x14:formula1>
            <xm:f>'CEMENT &amp; POZZOLAN SOURCES'!$A$1:$A$85</xm:f>
          </x14:formula1>
          <xm:sqref>D15:T17</xm:sqref>
        </x14:dataValidation>
        <x14:dataValidation type="list" allowBlank="1" showInputMessage="1" showErrorMessage="1" xr:uid="{1A68485C-109E-40A4-A6D5-203D6A3DCEC5}">
          <x14:formula1>
            <xm:f>'AGG SOURCES'!$A$1:$A$292</xm:f>
          </x14:formula1>
          <xm:sqref>D9:O11</xm:sqref>
        </x14:dataValidation>
        <x14:dataValidation type="list" allowBlank="1" showInputMessage="1" showErrorMessage="1" xr:uid="{00000000-0002-0000-0100-000016000000}">
          <x14:formula1>
            <xm:f>ADMIXTURES!$A$1:$A$289</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A16" workbookViewId="0">
      <selection activeCell="M20" sqref="M20:T20"/>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20" hidden="1" customWidth="1"/>
    <col min="56" max="59" width="8.28515625" style="120" hidden="1" customWidth="1"/>
    <col min="60" max="61" width="0.140625" style="120" customWidth="1"/>
    <col min="62" max="62" width="1.7109375" style="120" hidden="1" customWidth="1"/>
    <col min="63" max="63" width="0.140625" style="120" hidden="1" customWidth="1"/>
    <col min="64" max="67" width="8.28515625" style="120" customWidth="1"/>
    <col min="68" max="103" width="9.140625" style="120"/>
  </cols>
  <sheetData>
    <row r="1" spans="1:103" ht="15.75" x14ac:dyDescent="0.25">
      <c r="A1" s="608" t="s">
        <v>1851</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Y1"/>
      <c r="AZ1"/>
      <c r="BA1"/>
      <c r="BB1"/>
      <c r="BC1"/>
      <c r="BD1"/>
      <c r="BE1"/>
      <c r="BF1"/>
      <c r="BG1"/>
      <c r="BH1"/>
      <c r="BI1"/>
      <c r="BJ1"/>
      <c r="BK1"/>
    </row>
    <row r="2" spans="1:103" ht="12.6" customHeight="1" thickBot="1" x14ac:dyDescent="0.25">
      <c r="A2" s="270" t="s">
        <v>136</v>
      </c>
      <c r="B2" s="270"/>
      <c r="C2" s="270"/>
      <c r="D2" s="270"/>
      <c r="E2" s="270"/>
      <c r="F2" s="270"/>
      <c r="G2" s="619"/>
      <c r="H2" s="619"/>
      <c r="I2" s="619"/>
      <c r="J2" s="619"/>
      <c r="K2" s="619"/>
      <c r="L2" s="619"/>
      <c r="M2" s="619"/>
      <c r="N2" s="619"/>
      <c r="O2" s="619"/>
      <c r="P2" s="270" t="s">
        <v>137</v>
      </c>
      <c r="Q2" s="270"/>
      <c r="R2" s="270"/>
      <c r="S2" s="270"/>
      <c r="T2" s="270"/>
      <c r="U2" s="270"/>
      <c r="V2" s="619"/>
      <c r="W2" s="619"/>
      <c r="X2" s="619"/>
      <c r="Y2" s="619"/>
      <c r="Z2" s="619"/>
      <c r="AA2" s="619"/>
      <c r="AB2" s="619"/>
      <c r="AC2" s="619"/>
      <c r="AY2"/>
      <c r="AZ2"/>
      <c r="BA2"/>
      <c r="BB2"/>
      <c r="BC2"/>
      <c r="BD2"/>
      <c r="BE2"/>
      <c r="BF2"/>
      <c r="BG2"/>
      <c r="BH2"/>
      <c r="BI2"/>
      <c r="BJ2"/>
      <c r="BK2"/>
    </row>
    <row r="3" spans="1:103" ht="12.6" customHeight="1" thickBot="1" x14ac:dyDescent="0.25">
      <c r="A3" s="270" t="s">
        <v>138</v>
      </c>
      <c r="B3" s="270"/>
      <c r="C3" s="270"/>
      <c r="D3" s="270"/>
      <c r="E3" s="270"/>
      <c r="F3" s="270"/>
      <c r="G3" s="619"/>
      <c r="H3" s="619"/>
      <c r="I3" s="619"/>
      <c r="J3" s="619"/>
      <c r="K3" s="619"/>
      <c r="L3" s="619"/>
      <c r="M3" s="619"/>
      <c r="N3" s="619"/>
      <c r="O3" s="619"/>
      <c r="P3" s="615" t="s">
        <v>139</v>
      </c>
      <c r="Q3" s="615"/>
      <c r="R3" s="615"/>
      <c r="S3" s="615"/>
      <c r="T3" s="615"/>
      <c r="U3" s="615"/>
      <c r="V3" s="620"/>
      <c r="W3" s="620"/>
      <c r="X3" s="620"/>
      <c r="Y3" s="620"/>
      <c r="Z3" s="620"/>
      <c r="AA3" s="620"/>
      <c r="AB3" s="620"/>
      <c r="AC3" s="620"/>
      <c r="AQ3" s="25" t="s">
        <v>140</v>
      </c>
      <c r="AR3" s="23" t="str">
        <f>G6&amp;L6</f>
        <v>Mix ID Not Required</v>
      </c>
      <c r="AY3"/>
      <c r="AZ3"/>
      <c r="BA3"/>
      <c r="BB3"/>
      <c r="BC3"/>
      <c r="BD3"/>
      <c r="BE3"/>
      <c r="BF3"/>
      <c r="BG3"/>
      <c r="BH3"/>
      <c r="BI3"/>
      <c r="BJ3"/>
      <c r="BK3"/>
    </row>
    <row r="4" spans="1:103" ht="12.6" customHeight="1" thickBot="1" x14ac:dyDescent="0.25">
      <c r="A4" s="270" t="s">
        <v>141</v>
      </c>
      <c r="B4" s="270"/>
      <c r="C4" s="270"/>
      <c r="D4" s="270"/>
      <c r="E4" s="270"/>
      <c r="F4" s="270"/>
      <c r="G4" s="625"/>
      <c r="H4" s="625"/>
      <c r="I4" s="625"/>
      <c r="J4" s="625"/>
      <c r="K4" s="625"/>
      <c r="L4" s="625"/>
      <c r="M4" s="625"/>
      <c r="N4" s="625"/>
      <c r="O4" s="625"/>
      <c r="P4" s="270" t="s">
        <v>142</v>
      </c>
      <c r="Q4" s="270"/>
      <c r="R4" s="270"/>
      <c r="S4" s="270"/>
      <c r="T4" s="270"/>
      <c r="U4" s="270"/>
      <c r="V4" s="569"/>
      <c r="W4" s="569"/>
      <c r="X4" s="569"/>
      <c r="Y4" s="569"/>
      <c r="Z4" s="569"/>
      <c r="AA4" s="569"/>
      <c r="AB4" s="569"/>
      <c r="AC4" s="621"/>
      <c r="AG4" s="5" t="s">
        <v>143</v>
      </c>
      <c r="AQ4" s="25" t="s">
        <v>144</v>
      </c>
      <c r="AR4" s="23" t="str">
        <f>V6</f>
        <v>213 Removable Type 4-1</v>
      </c>
      <c r="AY4"/>
      <c r="AZ4"/>
      <c r="BA4"/>
      <c r="BB4"/>
      <c r="BC4"/>
      <c r="BD4"/>
      <c r="BE4"/>
      <c r="BF4"/>
      <c r="BG4"/>
      <c r="BH4"/>
      <c r="BI4"/>
      <c r="BJ4"/>
      <c r="BK4"/>
    </row>
    <row r="5" spans="1:103" ht="12.6" customHeight="1" thickBot="1" x14ac:dyDescent="0.25">
      <c r="A5" s="270" t="s">
        <v>145</v>
      </c>
      <c r="B5" s="270"/>
      <c r="C5" s="270"/>
      <c r="D5" s="270"/>
      <c r="E5" s="270"/>
      <c r="F5" s="270"/>
      <c r="G5" s="625"/>
      <c r="H5" s="625"/>
      <c r="I5" s="625"/>
      <c r="J5" s="625"/>
      <c r="K5" s="625"/>
      <c r="L5" s="625"/>
      <c r="M5" s="625"/>
      <c r="N5" s="625"/>
      <c r="O5" s="625"/>
      <c r="P5" s="324" t="s">
        <v>146</v>
      </c>
      <c r="Q5" s="324"/>
      <c r="R5" s="324"/>
      <c r="S5" s="324"/>
      <c r="T5" s="324"/>
      <c r="U5" s="324"/>
      <c r="V5" s="626" t="s">
        <v>1831</v>
      </c>
      <c r="W5" s="626"/>
      <c r="X5" s="626"/>
      <c r="Y5" s="626"/>
      <c r="Z5" s="626"/>
      <c r="AA5" s="626"/>
      <c r="AB5" s="626"/>
      <c r="AC5" s="626"/>
      <c r="AD5" s="5"/>
      <c r="AG5" s="5" t="s">
        <v>147</v>
      </c>
      <c r="AQ5" s="25" t="s">
        <v>136</v>
      </c>
      <c r="AR5" s="29">
        <f>G2</f>
        <v>0</v>
      </c>
      <c r="AY5"/>
      <c r="AZ5"/>
      <c r="BA5"/>
      <c r="BB5"/>
      <c r="BC5"/>
      <c r="BD5"/>
      <c r="BE5"/>
      <c r="BF5"/>
      <c r="BG5"/>
      <c r="BH5"/>
      <c r="BI5"/>
      <c r="BJ5"/>
      <c r="BK5"/>
    </row>
    <row r="6" spans="1:103" ht="15.75" customHeight="1" thickBot="1" x14ac:dyDescent="0.25">
      <c r="A6" s="614" t="s">
        <v>148</v>
      </c>
      <c r="B6" s="522"/>
      <c r="C6" s="522"/>
      <c r="D6" s="522"/>
      <c r="E6" s="522"/>
      <c r="F6" s="522"/>
      <c r="G6" s="627"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522"/>
      <c r="I6" s="522"/>
      <c r="J6" s="522"/>
      <c r="K6" s="522"/>
      <c r="L6" s="381"/>
      <c r="M6" s="381"/>
      <c r="N6" s="382"/>
      <c r="O6" s="614" t="s">
        <v>149</v>
      </c>
      <c r="P6" s="522"/>
      <c r="Q6" s="522"/>
      <c r="R6" s="522"/>
      <c r="S6" s="522"/>
      <c r="T6" s="522"/>
      <c r="U6" s="522"/>
      <c r="V6" s="628" t="s">
        <v>1847</v>
      </c>
      <c r="W6" s="628"/>
      <c r="X6" s="628"/>
      <c r="Y6" s="628"/>
      <c r="Z6" s="628"/>
      <c r="AA6" s="628"/>
      <c r="AB6" s="628"/>
      <c r="AC6" s="629"/>
      <c r="AG6" s="5" t="s">
        <v>151</v>
      </c>
      <c r="AQ6" s="26" t="s">
        <v>152</v>
      </c>
      <c r="AR6" s="29">
        <f>G5</f>
        <v>0</v>
      </c>
      <c r="AY6" s="5" t="s">
        <v>153</v>
      </c>
      <c r="AZ6"/>
      <c r="BA6"/>
      <c r="BB6"/>
      <c r="BC6"/>
      <c r="BD6"/>
      <c r="BE6"/>
      <c r="BF6"/>
      <c r="BG6"/>
      <c r="BH6"/>
      <c r="BI6"/>
      <c r="BJ6"/>
      <c r="BK6"/>
    </row>
    <row r="7" spans="1:103" ht="28.5" customHeight="1" thickBot="1" x14ac:dyDescent="0.25">
      <c r="A7" s="622" t="s">
        <v>154</v>
      </c>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111"/>
      <c r="AG7" s="5" t="s">
        <v>155</v>
      </c>
      <c r="AQ7" s="26" t="s">
        <v>138</v>
      </c>
      <c r="AR7" s="29">
        <f>G3</f>
        <v>0</v>
      </c>
      <c r="AY7"/>
      <c r="AZ7"/>
      <c r="BA7"/>
      <c r="BB7"/>
      <c r="BC7"/>
      <c r="BD7"/>
      <c r="BE7"/>
      <c r="BF7"/>
      <c r="BG7"/>
      <c r="BH7"/>
      <c r="BI7"/>
      <c r="BJ7"/>
      <c r="BK7"/>
    </row>
    <row r="8" spans="1:103" ht="58.5" customHeight="1" thickBot="1" x14ac:dyDescent="0.25">
      <c r="A8" s="427" t="s">
        <v>156</v>
      </c>
      <c r="B8" s="250"/>
      <c r="C8" s="250"/>
      <c r="D8" s="650" t="s">
        <v>157</v>
      </c>
      <c r="E8" s="651"/>
      <c r="F8" s="651"/>
      <c r="G8" s="651"/>
      <c r="H8" s="651"/>
      <c r="I8" s="651"/>
      <c r="J8" s="651"/>
      <c r="K8" s="651"/>
      <c r="L8" s="651"/>
      <c r="M8" s="651"/>
      <c r="N8" s="651"/>
      <c r="O8" s="652"/>
      <c r="P8" s="653" t="s">
        <v>158</v>
      </c>
      <c r="Q8" s="654"/>
      <c r="R8" s="655"/>
      <c r="S8" s="250" t="s">
        <v>159</v>
      </c>
      <c r="T8" s="250"/>
      <c r="U8" s="250"/>
      <c r="V8" s="250" t="s">
        <v>160</v>
      </c>
      <c r="W8" s="250"/>
      <c r="X8" s="250"/>
      <c r="Y8" s="250" t="s">
        <v>161</v>
      </c>
      <c r="Z8" s="250"/>
      <c r="AA8" s="427" t="s">
        <v>162</v>
      </c>
      <c r="AB8" s="427"/>
      <c r="AC8" s="427"/>
      <c r="AG8" s="5" t="s">
        <v>163</v>
      </c>
      <c r="AP8" s="35"/>
      <c r="AQ8" s="24" t="s">
        <v>164</v>
      </c>
      <c r="AR8" s="29">
        <f>V2</f>
        <v>0</v>
      </c>
      <c r="AY8"/>
      <c r="AZ8"/>
      <c r="BA8"/>
      <c r="BB8"/>
      <c r="BC8"/>
      <c r="BD8"/>
      <c r="BE8"/>
      <c r="BF8"/>
      <c r="BG8"/>
      <c r="BH8"/>
      <c r="BI8"/>
      <c r="BJ8"/>
      <c r="BK8"/>
    </row>
    <row r="9" spans="1:103" ht="12.6" customHeight="1" thickBot="1" x14ac:dyDescent="0.25">
      <c r="A9" s="504" t="e">
        <f>VLOOKUP(D9,'AGG SOURCES'!A1:D292,2,FALSE)</f>
        <v>#N/A</v>
      </c>
      <c r="B9" s="502"/>
      <c r="C9" s="502"/>
      <c r="D9" s="690"/>
      <c r="E9" s="691"/>
      <c r="F9" s="691"/>
      <c r="G9" s="691"/>
      <c r="H9" s="691"/>
      <c r="I9" s="691"/>
      <c r="J9" s="691"/>
      <c r="K9" s="691"/>
      <c r="L9" s="691"/>
      <c r="M9" s="691"/>
      <c r="N9" s="691"/>
      <c r="O9" s="692"/>
      <c r="P9" s="699"/>
      <c r="Q9" s="700"/>
      <c r="R9" s="701"/>
      <c r="S9" s="617"/>
      <c r="T9" s="617"/>
      <c r="U9" s="617"/>
      <c r="V9" s="617"/>
      <c r="W9" s="617"/>
      <c r="X9" s="617"/>
      <c r="Y9" s="617"/>
      <c r="Z9" s="617"/>
      <c r="AA9" s="612"/>
      <c r="AB9" s="612"/>
      <c r="AC9" s="613"/>
      <c r="AG9" s="5" t="s">
        <v>165</v>
      </c>
      <c r="AQ9" s="24" t="s">
        <v>166</v>
      </c>
      <c r="AR9" s="23">
        <f>V3</f>
        <v>0</v>
      </c>
      <c r="AY9"/>
      <c r="AZ9"/>
      <c r="BA9"/>
      <c r="BB9"/>
      <c r="BC9"/>
      <c r="BD9"/>
      <c r="BE9"/>
      <c r="BF9"/>
      <c r="BG9"/>
      <c r="BH9"/>
      <c r="BI9"/>
      <c r="BJ9"/>
      <c r="BK9"/>
    </row>
    <row r="10" spans="1:103" ht="12.6" customHeight="1" thickBot="1" x14ac:dyDescent="0.25">
      <c r="A10" s="504" t="e">
        <f>VLOOKUP(D10,'AGG SOURCES'!A1:D292,2,FALSE)</f>
        <v>#N/A</v>
      </c>
      <c r="B10" s="502"/>
      <c r="C10" s="502"/>
      <c r="D10" s="690"/>
      <c r="E10" s="691"/>
      <c r="F10" s="691"/>
      <c r="G10" s="691"/>
      <c r="H10" s="691"/>
      <c r="I10" s="691"/>
      <c r="J10" s="691"/>
      <c r="K10" s="691"/>
      <c r="L10" s="691"/>
      <c r="M10" s="691"/>
      <c r="N10" s="691"/>
      <c r="O10" s="692"/>
      <c r="P10" s="699"/>
      <c r="Q10" s="700"/>
      <c r="R10" s="701"/>
      <c r="S10" s="617"/>
      <c r="T10" s="617"/>
      <c r="U10" s="617"/>
      <c r="V10" s="617"/>
      <c r="W10" s="617"/>
      <c r="X10" s="617"/>
      <c r="Y10" s="617"/>
      <c r="Z10" s="617"/>
      <c r="AA10" s="612"/>
      <c r="AB10" s="612"/>
      <c r="AC10" s="613"/>
      <c r="AG10" s="5" t="s">
        <v>167</v>
      </c>
      <c r="AQ10" s="24" t="s">
        <v>142</v>
      </c>
      <c r="AR10" s="23">
        <f>V4</f>
        <v>0</v>
      </c>
      <c r="AY10"/>
      <c r="AZ10"/>
      <c r="BA10"/>
      <c r="BB10"/>
      <c r="BC10"/>
      <c r="BD10"/>
      <c r="BE10"/>
      <c r="BF10"/>
      <c r="BG10"/>
      <c r="BH10"/>
      <c r="BI10"/>
      <c r="BJ10"/>
      <c r="BK10"/>
    </row>
    <row r="11" spans="1:103" ht="12.6" customHeight="1" thickBot="1" x14ac:dyDescent="0.25">
      <c r="A11" s="504" t="e">
        <f>VLOOKUP(D11,'AGG SOURCES'!A1:D292,2,FALSE)</f>
        <v>#N/A</v>
      </c>
      <c r="B11" s="502"/>
      <c r="C11" s="502"/>
      <c r="D11" s="690"/>
      <c r="E11" s="691"/>
      <c r="F11" s="691"/>
      <c r="G11" s="691"/>
      <c r="H11" s="691"/>
      <c r="I11" s="691"/>
      <c r="J11" s="691"/>
      <c r="K11" s="691"/>
      <c r="L11" s="691"/>
      <c r="M11" s="691"/>
      <c r="N11" s="691"/>
      <c r="O11" s="692"/>
      <c r="P11" s="702"/>
      <c r="Q11" s="703"/>
      <c r="R11" s="704"/>
      <c r="S11" s="524"/>
      <c r="T11" s="524"/>
      <c r="U11" s="525"/>
      <c r="V11" s="618"/>
      <c r="W11" s="618"/>
      <c r="X11" s="618"/>
      <c r="Y11" s="618"/>
      <c r="Z11" s="618"/>
      <c r="AA11" s="616"/>
      <c r="AB11" s="616"/>
      <c r="AC11" s="616"/>
      <c r="AG11" s="5" t="s">
        <v>168</v>
      </c>
      <c r="AQ11" s="27" t="s">
        <v>169</v>
      </c>
      <c r="AR11" s="126" t="e">
        <f>A9</f>
        <v>#N/A</v>
      </c>
      <c r="AY11"/>
      <c r="AZ11"/>
      <c r="BA11"/>
      <c r="BB11"/>
      <c r="BC11"/>
      <c r="BD11"/>
      <c r="BE11"/>
      <c r="BF11"/>
      <c r="BG11"/>
      <c r="BH11"/>
      <c r="BI11"/>
      <c r="BJ11"/>
      <c r="BK11"/>
    </row>
    <row r="12" spans="1:103" ht="12.6" customHeight="1" thickBot="1" x14ac:dyDescent="0.3">
      <c r="A12" s="615" t="str">
        <f>IF(AND(S42="*** % Passing 1 inch sieve",OR(S9="QA",S10="QA",S11="QA")), "*** % Passing 1 inch sieve for QA size CA"," ")</f>
        <v xml:space="preserve"> </v>
      </c>
      <c r="B12" s="615"/>
      <c r="C12" s="615"/>
      <c r="D12" s="615"/>
      <c r="E12" s="615"/>
      <c r="F12" s="615"/>
      <c r="G12" s="615"/>
      <c r="H12" s="615"/>
      <c r="I12" s="615"/>
      <c r="J12" s="615"/>
      <c r="K12" s="686"/>
      <c r="L12" s="686"/>
      <c r="M12" s="615" t="str">
        <f>IF(V6="501 QC/QA PCCP","*% passing No. 200 sieve"," ")</f>
        <v xml:space="preserve"> </v>
      </c>
      <c r="N12" s="615"/>
      <c r="O12" s="615"/>
      <c r="P12" s="615"/>
      <c r="Q12" s="615"/>
      <c r="R12" s="615"/>
      <c r="S12" s="615" t="str">
        <f>IF(OR(V6="501 QC/QA PCCP",V6="730*"),", CA contributes"," ")</f>
        <v xml:space="preserve"> </v>
      </c>
      <c r="T12" s="615"/>
      <c r="U12" s="615"/>
      <c r="V12" s="615"/>
      <c r="W12" s="19"/>
      <c r="X12" s="615" t="str">
        <f>IF(V6="501 QC/QA PCCP","  FA contributes"," ")</f>
        <v xml:space="preserve"> </v>
      </c>
      <c r="Y12" s="615"/>
      <c r="Z12" s="615"/>
      <c r="AA12" s="615"/>
      <c r="AB12" s="670"/>
      <c r="AC12" s="670"/>
      <c r="AG12" s="186" t="s">
        <v>170</v>
      </c>
      <c r="AQ12" s="27" t="s">
        <v>171</v>
      </c>
      <c r="AR12" s="33">
        <f>D9</f>
        <v>0</v>
      </c>
      <c r="AY12"/>
      <c r="AZ12"/>
      <c r="BA12"/>
      <c r="BB12"/>
      <c r="BC12"/>
      <c r="BD12"/>
      <c r="BE12"/>
      <c r="BF12"/>
      <c r="BG12"/>
      <c r="BH12"/>
      <c r="BI12"/>
      <c r="BJ12"/>
      <c r="BK12"/>
    </row>
    <row r="13" spans="1:103" ht="18" customHeight="1" thickBot="1" x14ac:dyDescent="0.3">
      <c r="A13" s="609" t="s">
        <v>172</v>
      </c>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1"/>
      <c r="AA13" s="705" t="s">
        <v>173</v>
      </c>
      <c r="AB13" s="706"/>
      <c r="AC13" s="707"/>
      <c r="AG13" s="186" t="s">
        <v>174</v>
      </c>
      <c r="AQ13" s="27" t="s">
        <v>175</v>
      </c>
      <c r="AR13" s="23">
        <f>S9</f>
        <v>0</v>
      </c>
      <c r="AY13"/>
      <c r="AZ13"/>
      <c r="BA13"/>
      <c r="BB13"/>
      <c r="BC13"/>
      <c r="BD13"/>
      <c r="BE13"/>
      <c r="BF13"/>
      <c r="BG13"/>
      <c r="BH13"/>
      <c r="BI13"/>
      <c r="BJ13"/>
      <c r="BK13"/>
      <c r="BM13" s="228"/>
      <c r="BN13" s="228"/>
      <c r="BO13" s="228"/>
      <c r="BP13" s="228"/>
      <c r="BQ13" s="228"/>
      <c r="BR13" s="228"/>
      <c r="BS13" s="228"/>
      <c r="BT13" s="228"/>
      <c r="BU13" s="228"/>
      <c r="BV13" s="228"/>
      <c r="BW13" s="228"/>
    </row>
    <row r="14" spans="1:103" ht="16.5" customHeight="1" thickTop="1" thickBot="1" x14ac:dyDescent="0.25">
      <c r="A14" s="687" t="s">
        <v>176</v>
      </c>
      <c r="B14" s="688"/>
      <c r="C14" s="689"/>
      <c r="D14" s="718" t="s">
        <v>177</v>
      </c>
      <c r="E14" s="688"/>
      <c r="F14" s="688"/>
      <c r="G14" s="688"/>
      <c r="H14" s="688"/>
      <c r="I14" s="688"/>
      <c r="J14" s="688"/>
      <c r="K14" s="688"/>
      <c r="L14" s="688"/>
      <c r="M14" s="688"/>
      <c r="N14" s="688"/>
      <c r="O14" s="688"/>
      <c r="P14" s="688"/>
      <c r="Q14" s="688"/>
      <c r="R14" s="688"/>
      <c r="S14" s="688"/>
      <c r="T14" s="689"/>
      <c r="U14" s="272" t="s">
        <v>178</v>
      </c>
      <c r="V14" s="273"/>
      <c r="W14" s="273"/>
      <c r="X14" s="273"/>
      <c r="Y14" s="300"/>
      <c r="Z14" s="1"/>
      <c r="AA14" s="639" t="s">
        <v>179</v>
      </c>
      <c r="AB14" s="640"/>
      <c r="AC14" s="641"/>
      <c r="AG14" s="5" t="s">
        <v>180</v>
      </c>
      <c r="AQ14" s="28" t="s">
        <v>181</v>
      </c>
      <c r="AR14" s="23">
        <f>V9</f>
        <v>0</v>
      </c>
      <c r="AY14"/>
      <c r="AZ14"/>
      <c r="BA14"/>
      <c r="BB14"/>
      <c r="BC14"/>
      <c r="BD14"/>
      <c r="BE14"/>
      <c r="BF14"/>
      <c r="BG14"/>
      <c r="BH14"/>
      <c r="BI14"/>
      <c r="BJ14"/>
      <c r="BK14"/>
      <c r="BM14" s="228"/>
      <c r="BN14" s="228"/>
      <c r="BO14" s="228"/>
      <c r="BP14" s="228"/>
      <c r="BQ14" s="228"/>
      <c r="BR14" s="228"/>
      <c r="BS14" s="228"/>
      <c r="BT14" s="228"/>
      <c r="BU14" s="228"/>
      <c r="BV14" s="228"/>
      <c r="BW14" s="228"/>
    </row>
    <row r="15" spans="1:103" s="35" customFormat="1" ht="12.6" customHeight="1" thickBot="1" x14ac:dyDescent="0.25">
      <c r="A15" s="656" t="e">
        <f>VLOOKUP(D15,'CEMENT &amp; POZZOLAN SOURCES'!A1:B85,2,FALSE)</f>
        <v>#N/A</v>
      </c>
      <c r="B15" s="657"/>
      <c r="C15" s="658"/>
      <c r="D15" s="659"/>
      <c r="E15" s="660"/>
      <c r="F15" s="660"/>
      <c r="G15" s="660"/>
      <c r="H15" s="660"/>
      <c r="I15" s="660"/>
      <c r="J15" s="660"/>
      <c r="K15" s="660"/>
      <c r="L15" s="660"/>
      <c r="M15" s="660"/>
      <c r="N15" s="660"/>
      <c r="O15" s="660"/>
      <c r="P15" s="660"/>
      <c r="Q15" s="660"/>
      <c r="R15" s="660"/>
      <c r="S15" s="660"/>
      <c r="T15" s="661"/>
      <c r="U15" s="642"/>
      <c r="V15" s="642"/>
      <c r="W15" s="642"/>
      <c r="X15" s="642"/>
      <c r="Y15" s="643"/>
      <c r="AA15" s="633"/>
      <c r="AB15" s="634"/>
      <c r="AC15" s="635"/>
      <c r="AG15" s="5" t="s">
        <v>184</v>
      </c>
      <c r="AJ15"/>
      <c r="AK15"/>
      <c r="AL15"/>
      <c r="AM15"/>
      <c r="AN15"/>
      <c r="AO15"/>
      <c r="AP15"/>
      <c r="AQ15" s="36" t="s">
        <v>185</v>
      </c>
      <c r="AR15" s="37">
        <f>Y9</f>
        <v>0</v>
      </c>
      <c r="BL15" s="121"/>
      <c r="BM15" s="229"/>
      <c r="BN15" s="229"/>
      <c r="BO15" s="229"/>
      <c r="BP15" s="229"/>
      <c r="BQ15" s="229"/>
      <c r="BR15" s="229"/>
      <c r="BS15" s="229"/>
      <c r="BT15" s="229"/>
      <c r="BU15" s="229"/>
      <c r="BV15" s="229"/>
      <c r="BW15" s="229"/>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row>
    <row r="16" spans="1:103" s="35" customFormat="1" ht="12.6" customHeight="1" thickBot="1" x14ac:dyDescent="0.25">
      <c r="A16" s="656" t="e">
        <f>VLOOKUP(D16,'CEMENT &amp; POZZOLAN SOURCES'!A1:B85,2,FALSE)</f>
        <v>#N/A</v>
      </c>
      <c r="B16" s="657"/>
      <c r="C16" s="658"/>
      <c r="D16" s="659"/>
      <c r="E16" s="660"/>
      <c r="F16" s="660"/>
      <c r="G16" s="660"/>
      <c r="H16" s="660"/>
      <c r="I16" s="660"/>
      <c r="J16" s="660"/>
      <c r="K16" s="660"/>
      <c r="L16" s="660"/>
      <c r="M16" s="660"/>
      <c r="N16" s="660"/>
      <c r="O16" s="660"/>
      <c r="P16" s="660"/>
      <c r="Q16" s="660"/>
      <c r="R16" s="660"/>
      <c r="S16" s="660"/>
      <c r="T16" s="661"/>
      <c r="U16" s="642"/>
      <c r="V16" s="642"/>
      <c r="W16" s="642"/>
      <c r="X16" s="642"/>
      <c r="Y16" s="643"/>
      <c r="AA16" s="639" t="s">
        <v>186</v>
      </c>
      <c r="AB16" s="640"/>
      <c r="AC16" s="641"/>
      <c r="AG16" s="5" t="s">
        <v>150</v>
      </c>
      <c r="AQ16" s="36" t="s">
        <v>187</v>
      </c>
      <c r="AR16" s="38">
        <f>AA9</f>
        <v>0</v>
      </c>
      <c r="BL16" s="121"/>
      <c r="BM16" s="229"/>
      <c r="BN16" s="229"/>
      <c r="BO16" s="229"/>
      <c r="BP16" s="229"/>
      <c r="BQ16" s="229"/>
      <c r="BR16" s="229"/>
      <c r="BS16" s="229"/>
      <c r="BT16" s="229"/>
      <c r="BU16" s="229"/>
      <c r="BV16" s="229"/>
      <c r="BW16" s="229"/>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row>
    <row r="17" spans="1:103" s="35" customFormat="1" ht="12.6" customHeight="1" thickBot="1" x14ac:dyDescent="0.25">
      <c r="A17" s="662" t="e">
        <f>VLOOKUP(D17,'CEMENT &amp; POZZOLAN SOURCES'!A1:B85,2,FALSE)</f>
        <v>#N/A</v>
      </c>
      <c r="B17" s="663"/>
      <c r="C17" s="664"/>
      <c r="D17" s="659"/>
      <c r="E17" s="660"/>
      <c r="F17" s="660"/>
      <c r="G17" s="660"/>
      <c r="H17" s="660"/>
      <c r="I17" s="660"/>
      <c r="J17" s="660"/>
      <c r="K17" s="660"/>
      <c r="L17" s="660"/>
      <c r="M17" s="660"/>
      <c r="N17" s="660"/>
      <c r="O17" s="660"/>
      <c r="P17" s="660"/>
      <c r="Q17" s="660"/>
      <c r="R17" s="660"/>
      <c r="S17" s="660"/>
      <c r="T17" s="661"/>
      <c r="U17" s="642"/>
      <c r="V17" s="642"/>
      <c r="W17" s="642"/>
      <c r="X17" s="642"/>
      <c r="Y17" s="643"/>
      <c r="Z17" s="122"/>
      <c r="AA17" s="636"/>
      <c r="AB17" s="637"/>
      <c r="AC17" s="638"/>
      <c r="AG17" s="5" t="s">
        <v>188</v>
      </c>
      <c r="AQ17" s="39" t="s">
        <v>189</v>
      </c>
      <c r="AR17" s="128" t="e">
        <f>A10</f>
        <v>#N/A</v>
      </c>
      <c r="BL17" s="121"/>
      <c r="BM17" s="229"/>
      <c r="BN17" s="229"/>
      <c r="BO17" s="229"/>
      <c r="BP17" s="229"/>
      <c r="BQ17" s="229"/>
      <c r="BR17" s="229"/>
      <c r="BS17" s="229"/>
      <c r="BT17" s="229"/>
      <c r="BU17" s="229"/>
      <c r="BV17" s="229"/>
      <c r="BW17" s="229"/>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row>
    <row r="18" spans="1:103" ht="27" customHeight="1" thickBot="1" x14ac:dyDescent="0.25">
      <c r="A18" s="681" t="s">
        <v>190</v>
      </c>
      <c r="B18" s="682"/>
      <c r="C18" s="682"/>
      <c r="D18" s="683"/>
      <c r="E18" s="683"/>
      <c r="F18" s="683"/>
      <c r="G18" s="683"/>
      <c r="H18" s="683"/>
      <c r="I18" s="683"/>
      <c r="J18" s="683"/>
      <c r="K18" s="683"/>
      <c r="L18" s="683"/>
      <c r="M18" s="683"/>
      <c r="N18" s="683"/>
      <c r="O18" s="683"/>
      <c r="P18" s="683"/>
      <c r="Q18" s="683"/>
      <c r="R18" s="683"/>
      <c r="S18" s="683"/>
      <c r="T18" s="683"/>
      <c r="U18" s="683"/>
      <c r="V18" s="683"/>
      <c r="W18" s="683"/>
      <c r="X18" s="683"/>
      <c r="Y18" s="683"/>
      <c r="Z18" s="682"/>
      <c r="AA18" s="683"/>
      <c r="AB18" s="683"/>
      <c r="AC18" s="684"/>
      <c r="AI18" s="35"/>
      <c r="AJ18" s="35"/>
      <c r="AK18" s="35"/>
      <c r="AL18" s="35"/>
      <c r="AM18" s="35"/>
      <c r="AN18" s="35"/>
      <c r="AO18" s="35"/>
      <c r="AQ18" s="27" t="s">
        <v>191</v>
      </c>
      <c r="AR18" s="33">
        <f>D10</f>
        <v>0</v>
      </c>
      <c r="AY18"/>
      <c r="AZ18"/>
      <c r="BA18"/>
      <c r="BB18"/>
      <c r="BC18"/>
      <c r="BD18"/>
      <c r="BE18"/>
      <c r="BF18"/>
      <c r="BG18"/>
      <c r="BH18"/>
      <c r="BI18"/>
      <c r="BJ18"/>
      <c r="BK18"/>
      <c r="BM18" s="228"/>
      <c r="BN18" s="228"/>
      <c r="BO18" s="228"/>
      <c r="BP18" s="228"/>
      <c r="BQ18" s="228"/>
      <c r="BR18" s="228"/>
      <c r="BS18" s="228"/>
      <c r="BT18" s="228"/>
      <c r="BU18" s="228"/>
      <c r="BV18" s="228"/>
      <c r="BW18" s="228"/>
    </row>
    <row r="19" spans="1:103" ht="18" customHeight="1" thickTop="1" thickBot="1" x14ac:dyDescent="0.25">
      <c r="A19" s="685" t="s">
        <v>192</v>
      </c>
      <c r="B19" s="248"/>
      <c r="C19" s="248"/>
      <c r="D19" s="272" t="s">
        <v>193</v>
      </c>
      <c r="E19" s="273"/>
      <c r="F19" s="273"/>
      <c r="G19" s="273"/>
      <c r="H19" s="273"/>
      <c r="I19" s="273"/>
      <c r="J19" s="273"/>
      <c r="K19" s="273"/>
      <c r="L19" s="273"/>
      <c r="M19" s="272" t="s">
        <v>194</v>
      </c>
      <c r="N19" s="273"/>
      <c r="O19" s="273"/>
      <c r="P19" s="273"/>
      <c r="Q19" s="273"/>
      <c r="R19" s="273"/>
      <c r="S19" s="273"/>
      <c r="T19" s="345"/>
      <c r="U19" s="248" t="s">
        <v>160</v>
      </c>
      <c r="V19" s="248"/>
      <c r="W19" s="248"/>
      <c r="X19" s="666" t="s">
        <v>195</v>
      </c>
      <c r="Y19" s="248"/>
      <c r="Z19" s="248"/>
      <c r="AA19" s="248"/>
      <c r="AB19" s="248"/>
      <c r="AC19" s="667"/>
      <c r="AD19" s="14"/>
      <c r="AG19" s="35" t="s">
        <v>183</v>
      </c>
      <c r="AQ19" s="27" t="s">
        <v>196</v>
      </c>
      <c r="AR19" s="23">
        <f>S10</f>
        <v>0</v>
      </c>
      <c r="AY19"/>
      <c r="AZ19"/>
      <c r="BA19"/>
      <c r="BB19"/>
      <c r="BC19"/>
      <c r="BD19"/>
      <c r="BE19"/>
      <c r="BF19"/>
      <c r="BG19"/>
      <c r="BH19"/>
      <c r="BI19"/>
      <c r="BJ19"/>
      <c r="BK19"/>
      <c r="BM19" s="228"/>
      <c r="BN19" s="228"/>
      <c r="BO19" s="228"/>
      <c r="BP19" s="228"/>
      <c r="BQ19" s="228"/>
      <c r="BR19" s="228"/>
      <c r="BS19" s="228"/>
      <c r="BT19" s="228"/>
      <c r="BU19" s="228"/>
      <c r="BV19" s="228"/>
      <c r="BW19" s="228"/>
    </row>
    <row r="20" spans="1:103" ht="13.5" customHeight="1" thickBot="1" x14ac:dyDescent="0.25">
      <c r="A20" s="495" t="e">
        <f>VLOOKUP(M20,ADMIXTURES!A1:F289,2,FALSE)</f>
        <v>#N/A</v>
      </c>
      <c r="B20" s="496"/>
      <c r="C20" s="496"/>
      <c r="D20" s="497" t="e">
        <f>VLOOKUP(M20,ADMIXTURES!A1:F289,4,FALSE)</f>
        <v>#N/A</v>
      </c>
      <c r="E20" s="498"/>
      <c r="F20" s="498"/>
      <c r="G20" s="498"/>
      <c r="H20" s="498"/>
      <c r="I20" s="498"/>
      <c r="J20" s="498"/>
      <c r="K20" s="498"/>
      <c r="L20" s="498"/>
      <c r="M20" s="499"/>
      <c r="N20" s="500"/>
      <c r="O20" s="500"/>
      <c r="P20" s="500"/>
      <c r="Q20" s="500"/>
      <c r="R20" s="500"/>
      <c r="S20" s="500"/>
      <c r="T20" s="501"/>
      <c r="U20" s="504" t="e">
        <f>VLOOKUP(M20,ADMIXTURES!A1:F289,5,FALSE)</f>
        <v>#N/A</v>
      </c>
      <c r="V20" s="502"/>
      <c r="W20" s="502"/>
      <c r="X20" s="434" t="e">
        <f>VLOOKUP(M20,ADMIXTURES!A1:F289,6,FALSE)</f>
        <v>#N/A</v>
      </c>
      <c r="Y20" s="502"/>
      <c r="Z20" s="502"/>
      <c r="AA20" s="502"/>
      <c r="AB20" s="502"/>
      <c r="AC20" s="503"/>
      <c r="AD20" s="52"/>
      <c r="AE20" s="66"/>
      <c r="AF20" s="66"/>
      <c r="AG20" s="35" t="s">
        <v>198</v>
      </c>
      <c r="AH20" s="66"/>
      <c r="AQ20" s="28" t="s">
        <v>199</v>
      </c>
      <c r="AR20" s="23">
        <f>V10</f>
        <v>0</v>
      </c>
      <c r="AY20"/>
      <c r="AZ20"/>
      <c r="BA20"/>
      <c r="BB20"/>
      <c r="BC20"/>
      <c r="BD20"/>
      <c r="BE20"/>
      <c r="BF20"/>
      <c r="BG20"/>
      <c r="BH20"/>
      <c r="BI20"/>
      <c r="BJ20"/>
      <c r="BK20"/>
      <c r="BM20" s="228"/>
      <c r="BN20" s="228"/>
      <c r="BO20" s="228"/>
      <c r="BP20" s="228"/>
      <c r="BQ20" s="228"/>
      <c r="BR20" s="228"/>
      <c r="BS20" s="228"/>
      <c r="BT20" s="228"/>
      <c r="BU20" s="228"/>
      <c r="BV20" s="228"/>
      <c r="BW20" s="228"/>
    </row>
    <row r="21" spans="1:103" ht="12.6" customHeight="1" thickBot="1" x14ac:dyDescent="0.25">
      <c r="A21" s="495" t="e">
        <f>VLOOKUP(M21,ADMIXTURES!A1:F289,2,FALSE)</f>
        <v>#N/A</v>
      </c>
      <c r="B21" s="496"/>
      <c r="C21" s="496"/>
      <c r="D21" s="497" t="e">
        <f>VLOOKUP(M21,ADMIXTURES!A1:F289,4,FALSE)</f>
        <v>#N/A</v>
      </c>
      <c r="E21" s="498"/>
      <c r="F21" s="498"/>
      <c r="G21" s="498"/>
      <c r="H21" s="498"/>
      <c r="I21" s="498"/>
      <c r="J21" s="498"/>
      <c r="K21" s="498"/>
      <c r="L21" s="498"/>
      <c r="M21" s="499"/>
      <c r="N21" s="500"/>
      <c r="O21" s="500"/>
      <c r="P21" s="500"/>
      <c r="Q21" s="500"/>
      <c r="R21" s="500"/>
      <c r="S21" s="500"/>
      <c r="T21" s="501"/>
      <c r="U21" s="504" t="e">
        <f>VLOOKUP(M21,ADMIXTURES!A1:F289,5,FALSE)</f>
        <v>#N/A</v>
      </c>
      <c r="V21" s="502"/>
      <c r="W21" s="502"/>
      <c r="X21" s="434" t="e">
        <f>VLOOKUP(M21,ADMIXTURES!A1:F289,6,FALSE)</f>
        <v>#N/A</v>
      </c>
      <c r="Y21" s="502"/>
      <c r="Z21" s="502"/>
      <c r="AA21" s="502"/>
      <c r="AB21" s="502"/>
      <c r="AC21" s="503"/>
      <c r="AD21" s="52"/>
      <c r="AE21" s="66"/>
      <c r="AF21" s="66"/>
      <c r="AG21" s="35" t="s">
        <v>201</v>
      </c>
      <c r="AH21" s="66"/>
      <c r="AI21" s="66"/>
      <c r="AJ21" s="66"/>
      <c r="AK21" s="66"/>
      <c r="AL21" s="66"/>
      <c r="AM21" s="66"/>
      <c r="AQ21" s="28" t="s">
        <v>202</v>
      </c>
      <c r="AR21" s="23">
        <f>Y10</f>
        <v>0</v>
      </c>
      <c r="AY21"/>
      <c r="AZ21"/>
      <c r="BA21"/>
      <c r="BB21"/>
      <c r="BC21"/>
      <c r="BD21"/>
      <c r="BE21"/>
      <c r="BF21"/>
      <c r="BG21"/>
      <c r="BH21"/>
      <c r="BI21"/>
      <c r="BJ21"/>
      <c r="BK21"/>
      <c r="BM21" s="228"/>
      <c r="BN21" s="228"/>
      <c r="BO21" s="228"/>
      <c r="BP21" s="228"/>
      <c r="BQ21" s="228"/>
      <c r="BR21" s="228"/>
      <c r="BS21" s="228"/>
      <c r="BT21" s="228"/>
      <c r="BU21" s="228"/>
      <c r="BV21" s="228"/>
      <c r="BW21" s="228"/>
    </row>
    <row r="22" spans="1:103" ht="12.6" customHeight="1" thickBot="1" x14ac:dyDescent="0.25">
      <c r="A22" s="495" t="e">
        <f>VLOOKUP(M22,ADMIXTURES!A1:F289,2,FALSE)</f>
        <v>#N/A</v>
      </c>
      <c r="B22" s="496"/>
      <c r="C22" s="496"/>
      <c r="D22" s="497" t="e">
        <f>VLOOKUP(M22,ADMIXTURES!A1:F289,4,FALSE)</f>
        <v>#N/A</v>
      </c>
      <c r="E22" s="498"/>
      <c r="F22" s="498"/>
      <c r="G22" s="498"/>
      <c r="H22" s="498"/>
      <c r="I22" s="498"/>
      <c r="J22" s="498"/>
      <c r="K22" s="498"/>
      <c r="L22" s="498"/>
      <c r="M22" s="665"/>
      <c r="N22" s="500"/>
      <c r="O22" s="500"/>
      <c r="P22" s="500"/>
      <c r="Q22" s="500"/>
      <c r="R22" s="500"/>
      <c r="S22" s="500"/>
      <c r="T22" s="501"/>
      <c r="U22" s="504" t="e">
        <f>VLOOKUP(M22,ADMIXTURES!A1:F289,5,FALSE)</f>
        <v>#N/A</v>
      </c>
      <c r="V22" s="502"/>
      <c r="W22" s="502"/>
      <c r="X22" s="434" t="e">
        <f>VLOOKUP(M22,ADMIXTURES!A1:F289,6,FALSE)</f>
        <v>#N/A</v>
      </c>
      <c r="Y22" s="502"/>
      <c r="Z22" s="502"/>
      <c r="AA22" s="502"/>
      <c r="AB22" s="502"/>
      <c r="AC22" s="503"/>
      <c r="AD22" s="52"/>
      <c r="AE22" s="66"/>
      <c r="AF22" s="66"/>
      <c r="AG22" s="35" t="s">
        <v>204</v>
      </c>
      <c r="AH22" s="66"/>
      <c r="AI22" s="66"/>
      <c r="AJ22" s="66"/>
      <c r="AK22" s="66"/>
      <c r="AL22" s="66"/>
      <c r="AM22" s="66"/>
      <c r="AQ22" s="28" t="s">
        <v>205</v>
      </c>
      <c r="AR22" s="29">
        <f>AA10</f>
        <v>0</v>
      </c>
      <c r="AY22"/>
      <c r="AZ22"/>
      <c r="BA22"/>
      <c r="BB22"/>
      <c r="BC22"/>
      <c r="BD22"/>
      <c r="BE22"/>
      <c r="BF22"/>
      <c r="BG22"/>
      <c r="BH22"/>
      <c r="BI22"/>
      <c r="BJ22"/>
      <c r="BK22"/>
      <c r="BM22" s="228"/>
      <c r="BN22" s="228"/>
      <c r="BO22" s="228"/>
      <c r="BP22" s="228"/>
      <c r="BQ22" s="228"/>
      <c r="BR22" s="228"/>
      <c r="BS22" s="228"/>
      <c r="BT22" s="228"/>
      <c r="BU22" s="228"/>
      <c r="BV22" s="228"/>
      <c r="BW22" s="228"/>
    </row>
    <row r="23" spans="1:103" ht="12.6" customHeight="1" thickBot="1" x14ac:dyDescent="0.25">
      <c r="A23" s="495" t="e">
        <f>VLOOKUP(M23,ADMIXTURES!A1:F289,2,FALSE)</f>
        <v>#N/A</v>
      </c>
      <c r="B23" s="496"/>
      <c r="C23" s="496"/>
      <c r="D23" s="497" t="e">
        <f>VLOOKUP(M23,ADMIXTURES!A1:F289,4,FALSE)</f>
        <v>#N/A</v>
      </c>
      <c r="E23" s="498"/>
      <c r="F23" s="498"/>
      <c r="G23" s="498"/>
      <c r="H23" s="498"/>
      <c r="I23" s="498"/>
      <c r="J23" s="498"/>
      <c r="K23" s="498"/>
      <c r="L23" s="498"/>
      <c r="M23" s="499"/>
      <c r="N23" s="500"/>
      <c r="O23" s="500"/>
      <c r="P23" s="500"/>
      <c r="Q23" s="500"/>
      <c r="R23" s="500"/>
      <c r="S23" s="500"/>
      <c r="T23" s="501"/>
      <c r="U23" s="504" t="e">
        <f>VLOOKUP(M23,ADMIXTURES!A1:F289,5,FALSE)</f>
        <v>#N/A</v>
      </c>
      <c r="V23" s="502"/>
      <c r="W23" s="502"/>
      <c r="X23" s="434" t="e">
        <f>VLOOKUP(M23,ADMIXTURES!A1:F289,6,FALSE)</f>
        <v>#N/A</v>
      </c>
      <c r="Y23" s="502"/>
      <c r="Z23" s="502"/>
      <c r="AA23" s="502"/>
      <c r="AB23" s="502"/>
      <c r="AC23" s="503"/>
      <c r="AD23" s="52"/>
      <c r="AE23" s="66"/>
      <c r="AF23" s="66"/>
      <c r="AG23" s="35"/>
      <c r="AH23" s="66"/>
      <c r="AI23" s="66"/>
      <c r="AJ23" s="66"/>
      <c r="AK23" s="66"/>
      <c r="AL23" s="66"/>
      <c r="AM23" s="66"/>
      <c r="AQ23" s="28"/>
      <c r="AR23" s="29"/>
      <c r="AY23"/>
      <c r="AZ23"/>
      <c r="BA23"/>
      <c r="BB23"/>
      <c r="BC23"/>
      <c r="BD23"/>
      <c r="BE23"/>
      <c r="BF23"/>
      <c r="BG23"/>
      <c r="BH23"/>
      <c r="BI23"/>
      <c r="BJ23"/>
      <c r="BK23"/>
      <c r="BM23" s="228"/>
      <c r="BN23" s="228"/>
      <c r="BO23" s="228"/>
      <c r="BP23" s="228"/>
      <c r="BQ23" s="228"/>
      <c r="BR23" s="228"/>
      <c r="BS23" s="228"/>
      <c r="BT23" s="228"/>
      <c r="BU23" s="228"/>
      <c r="BV23" s="228"/>
      <c r="BW23" s="228"/>
    </row>
    <row r="24" spans="1:103" ht="12.6" customHeight="1" thickBot="1" x14ac:dyDescent="0.25">
      <c r="A24" s="495" t="e">
        <f>VLOOKUP(M24,ADMIXTURES!A1:F289,2,FALSE)</f>
        <v>#N/A</v>
      </c>
      <c r="B24" s="496"/>
      <c r="C24" s="496"/>
      <c r="D24" s="497" t="e">
        <f>VLOOKUP(M24,ADMIXTURES!A1:F289,4,FALSE)</f>
        <v>#N/A</v>
      </c>
      <c r="E24" s="498"/>
      <c r="F24" s="498"/>
      <c r="G24" s="498"/>
      <c r="H24" s="498"/>
      <c r="I24" s="498"/>
      <c r="J24" s="498"/>
      <c r="K24" s="498"/>
      <c r="L24" s="498"/>
      <c r="M24" s="499"/>
      <c r="N24" s="500"/>
      <c r="O24" s="500"/>
      <c r="P24" s="500"/>
      <c r="Q24" s="500"/>
      <c r="R24" s="500"/>
      <c r="S24" s="500"/>
      <c r="T24" s="501"/>
      <c r="U24" s="504" t="e">
        <f>VLOOKUP(M24,ADMIXTURES!A1:F289,5,FALSE)</f>
        <v>#N/A</v>
      </c>
      <c r="V24" s="502"/>
      <c r="W24" s="502"/>
      <c r="X24" s="434" t="e">
        <f>VLOOKUP(M24,ADMIXTURES!A1:F289,6,FALSE)</f>
        <v>#N/A</v>
      </c>
      <c r="Y24" s="502"/>
      <c r="Z24" s="502"/>
      <c r="AA24" s="502"/>
      <c r="AB24" s="502"/>
      <c r="AC24" s="503"/>
      <c r="AD24" s="52"/>
      <c r="AE24" s="66"/>
      <c r="AF24" s="66"/>
      <c r="AG24" s="35" t="s">
        <v>207</v>
      </c>
      <c r="AH24" s="66"/>
      <c r="AI24" s="66"/>
      <c r="AJ24" s="66"/>
      <c r="AK24" s="66"/>
      <c r="AL24" s="66"/>
      <c r="AM24" s="66"/>
      <c r="AQ24" s="28"/>
      <c r="AR24" s="29"/>
      <c r="AY24"/>
      <c r="AZ24"/>
      <c r="BA24"/>
      <c r="BB24"/>
      <c r="BC24"/>
      <c r="BD24"/>
      <c r="BE24"/>
      <c r="BF24"/>
      <c r="BG24"/>
      <c r="BH24"/>
      <c r="BI24"/>
      <c r="BJ24"/>
      <c r="BK24"/>
      <c r="BM24" s="228"/>
      <c r="BN24" s="228"/>
      <c r="BO24" s="228"/>
      <c r="BP24" s="228"/>
      <c r="BQ24" s="228"/>
      <c r="BR24" s="228"/>
      <c r="BS24" s="228"/>
      <c r="BT24" s="228"/>
      <c r="BU24" s="228"/>
      <c r="BV24" s="228"/>
      <c r="BW24" s="228"/>
    </row>
    <row r="25" spans="1:103" ht="12.6" customHeight="1" thickBot="1" x14ac:dyDescent="0.25">
      <c r="A25" s="644"/>
      <c r="B25" s="631"/>
      <c r="C25" s="631"/>
      <c r="D25" s="645"/>
      <c r="E25" s="646"/>
      <c r="F25" s="646"/>
      <c r="G25" s="646"/>
      <c r="H25" s="646"/>
      <c r="I25" s="646"/>
      <c r="J25" s="646"/>
      <c r="K25" s="646"/>
      <c r="L25" s="646"/>
      <c r="M25" s="645"/>
      <c r="N25" s="646"/>
      <c r="O25" s="646"/>
      <c r="P25" s="646"/>
      <c r="Q25" s="646"/>
      <c r="R25" s="646"/>
      <c r="S25" s="646"/>
      <c r="T25" s="630"/>
      <c r="U25" s="647"/>
      <c r="V25" s="648"/>
      <c r="W25" s="649"/>
      <c r="X25" s="630"/>
      <c r="Y25" s="631"/>
      <c r="Z25" s="631"/>
      <c r="AA25" s="631"/>
      <c r="AB25" s="631"/>
      <c r="AC25" s="632"/>
      <c r="AD25" s="14"/>
      <c r="AF25" s="5"/>
      <c r="AG25" s="66" t="s">
        <v>208</v>
      </c>
      <c r="AI25" s="66"/>
      <c r="AJ25" s="66"/>
      <c r="AK25" s="66"/>
      <c r="AL25" s="66"/>
      <c r="AM25" s="66"/>
      <c r="AQ25" s="27" t="s">
        <v>209</v>
      </c>
      <c r="AR25" s="23" t="e">
        <f>A11</f>
        <v>#N/A</v>
      </c>
      <c r="AY25"/>
      <c r="AZ25"/>
      <c r="BA25"/>
      <c r="BB25"/>
      <c r="BC25"/>
      <c r="BD25"/>
      <c r="BE25"/>
      <c r="BF25"/>
      <c r="BG25"/>
      <c r="BH25"/>
      <c r="BI25"/>
      <c r="BJ25"/>
      <c r="BK25"/>
      <c r="BM25" s="228"/>
      <c r="BN25" s="228"/>
      <c r="BO25" s="228"/>
      <c r="BP25" s="228"/>
      <c r="BQ25" s="228"/>
      <c r="BR25" s="228"/>
      <c r="BS25" s="228"/>
      <c r="BT25" s="228"/>
      <c r="BU25" s="228"/>
      <c r="BV25" s="228"/>
      <c r="BW25" s="228"/>
    </row>
    <row r="26" spans="1:103" ht="12.6" customHeight="1" thickBot="1" x14ac:dyDescent="0.25">
      <c r="A26" s="708" t="str">
        <f>IF(OR(U25="CaCl₂"),"concentration of CaCl₂ is"," ")</f>
        <v xml:space="preserve"> </v>
      </c>
      <c r="B26" s="708"/>
      <c r="C26" s="708"/>
      <c r="D26" s="708"/>
      <c r="E26" s="708"/>
      <c r="F26" s="708"/>
      <c r="G26" s="708"/>
      <c r="H26" s="708"/>
      <c r="I26" s="708"/>
      <c r="J26" s="709"/>
      <c r="K26" s="709"/>
      <c r="L26" s="522" t="str">
        <f>IF(OR(U25="CaCl₂"),"solution density is"," ")</f>
        <v xml:space="preserve"> </v>
      </c>
      <c r="M26" s="381"/>
      <c r="N26" s="381"/>
      <c r="O26" s="381"/>
      <c r="P26" s="381"/>
      <c r="Q26" s="710"/>
      <c r="R26" s="710"/>
      <c r="S26" s="720" t="str">
        <f>IF(OR(U25="CaCl₂"),"lbs /gal"," ")</f>
        <v xml:space="preserve"> </v>
      </c>
      <c r="T26" s="720"/>
      <c r="U26" s="720"/>
      <c r="V26" s="719" t="str">
        <f>IF(OR(U25="CaCl₂"),"water portion is"," ")</f>
        <v xml:space="preserve"> </v>
      </c>
      <c r="W26" s="719"/>
      <c r="X26" s="719"/>
      <c r="Y26" s="719"/>
      <c r="Z26" s="505" t="str">
        <f>IF(OR(U25="CaCl₂" ), Q26*(1-J26)," ")</f>
        <v xml:space="preserve"> </v>
      </c>
      <c r="AA26" s="505"/>
      <c r="AB26" s="522" t="str">
        <f>IF(OR(U25="CaCl₂"),"lbs/gal"," ")</f>
        <v xml:space="preserve"> </v>
      </c>
      <c r="AC26" s="522"/>
      <c r="AF26" s="5"/>
      <c r="AG26" s="66" t="s">
        <v>210</v>
      </c>
      <c r="AQ26" s="27" t="s">
        <v>211</v>
      </c>
      <c r="AR26" s="33">
        <f>D11</f>
        <v>0</v>
      </c>
      <c r="AY26"/>
      <c r="AZ26"/>
      <c r="BA26"/>
      <c r="BB26"/>
      <c r="BC26"/>
      <c r="BD26"/>
      <c r="BE26"/>
      <c r="BF26"/>
      <c r="BG26"/>
      <c r="BH26"/>
      <c r="BI26"/>
      <c r="BJ26"/>
      <c r="BK26"/>
      <c r="BM26" s="228"/>
      <c r="BN26" s="228"/>
      <c r="BO26" s="228"/>
      <c r="BP26" s="228"/>
      <c r="BQ26" s="228"/>
      <c r="BR26" s="228"/>
      <c r="BS26" s="228"/>
      <c r="BT26" s="228"/>
      <c r="BU26" s="228"/>
      <c r="BV26" s="228"/>
      <c r="BW26" s="228"/>
    </row>
    <row r="27" spans="1:103" ht="15.75" customHeight="1" thickBot="1" x14ac:dyDescent="0.25">
      <c r="A27" s="668" t="s">
        <v>212</v>
      </c>
      <c r="B27" s="485"/>
      <c r="C27" s="485"/>
      <c r="D27" s="485"/>
      <c r="E27" s="485"/>
      <c r="F27" s="485"/>
      <c r="G27" s="485"/>
      <c r="H27" s="485"/>
      <c r="I27" s="485"/>
      <c r="J27" s="485"/>
      <c r="K27" s="485"/>
      <c r="L27" s="485"/>
      <c r="M27" s="485"/>
      <c r="N27" s="485"/>
      <c r="O27" s="485"/>
      <c r="P27" s="669"/>
      <c r="S27" s="668" t="s">
        <v>213</v>
      </c>
      <c r="T27" s="485"/>
      <c r="U27" s="485"/>
      <c r="V27" s="485"/>
      <c r="W27" s="485"/>
      <c r="X27" s="485"/>
      <c r="Y27" s="485"/>
      <c r="Z27" s="485"/>
      <c r="AA27" s="485"/>
      <c r="AB27" s="485"/>
      <c r="AC27" s="669"/>
      <c r="AF27" s="5"/>
      <c r="AG27" s="66" t="s">
        <v>214</v>
      </c>
      <c r="AP27" s="125"/>
      <c r="AQ27" s="27" t="s">
        <v>215</v>
      </c>
      <c r="AR27" s="23">
        <f>S11</f>
        <v>0</v>
      </c>
      <c r="AY27"/>
      <c r="AZ27"/>
      <c r="BA27"/>
      <c r="BB27"/>
      <c r="BC27"/>
      <c r="BD27"/>
      <c r="BE27"/>
      <c r="BF27"/>
      <c r="BG27"/>
      <c r="BH27"/>
      <c r="BI27"/>
      <c r="BJ27"/>
      <c r="BK27"/>
      <c r="BM27" s="228"/>
      <c r="BN27" s="228"/>
      <c r="BO27" s="228"/>
      <c r="BP27" s="228"/>
      <c r="BQ27" s="228"/>
      <c r="BR27" s="228"/>
      <c r="BS27" s="228"/>
      <c r="BT27" s="228"/>
      <c r="BU27" s="228"/>
      <c r="BV27" s="228"/>
      <c r="BW27" s="228"/>
    </row>
    <row r="28" spans="1:103" ht="20.25" customHeight="1" thickTop="1" thickBot="1" x14ac:dyDescent="0.25">
      <c r="A28" s="712" t="s">
        <v>216</v>
      </c>
      <c r="B28" s="713"/>
      <c r="C28" s="713"/>
      <c r="D28" s="714"/>
      <c r="E28" s="270" t="s">
        <v>217</v>
      </c>
      <c r="F28" s="270"/>
      <c r="G28" s="271"/>
      <c r="H28" s="326" t="s">
        <v>218</v>
      </c>
      <c r="I28" s="270"/>
      <c r="J28" s="271"/>
      <c r="K28" s="326" t="s">
        <v>219</v>
      </c>
      <c r="L28" s="270"/>
      <c r="M28" s="271"/>
      <c r="N28" s="739" t="s">
        <v>220</v>
      </c>
      <c r="O28" s="740"/>
      <c r="P28" s="741"/>
      <c r="S28" s="514" t="s">
        <v>221</v>
      </c>
      <c r="T28" s="515"/>
      <c r="U28" s="515"/>
      <c r="V28" s="515"/>
      <c r="W28" s="515"/>
      <c r="X28" s="515"/>
      <c r="Y28" s="515"/>
      <c r="Z28" s="516"/>
      <c r="AA28" s="734" t="str">
        <f>IF(Sheet2!J7=2,(SUM(E31:G33)/SUM(E30:G33)*100),"")</f>
        <v/>
      </c>
      <c r="AB28" s="734"/>
      <c r="AC28" s="735"/>
      <c r="AF28" s="5"/>
      <c r="AG28" s="66" t="s">
        <v>222</v>
      </c>
      <c r="AQ28" s="28" t="s">
        <v>223</v>
      </c>
      <c r="AR28" s="23">
        <f>V11</f>
        <v>0</v>
      </c>
      <c r="AY28"/>
      <c r="AZ28"/>
      <c r="BA28"/>
      <c r="BB28"/>
      <c r="BC28"/>
      <c r="BD28"/>
      <c r="BE28"/>
      <c r="BF28"/>
      <c r="BG28"/>
      <c r="BH28"/>
      <c r="BI28"/>
      <c r="BJ28"/>
      <c r="BK28"/>
      <c r="BM28" s="228"/>
      <c r="BN28" s="228"/>
      <c r="BO28" s="228"/>
      <c r="BP28" s="228"/>
      <c r="BQ28" s="228"/>
      <c r="BR28" s="228"/>
      <c r="BS28" s="228"/>
      <c r="BT28" s="228"/>
      <c r="BU28" s="228"/>
      <c r="BV28" s="228"/>
      <c r="BW28" s="228"/>
    </row>
    <row r="29" spans="1:103" ht="14.25" customHeight="1" thickBot="1" x14ac:dyDescent="0.25">
      <c r="A29" s="715"/>
      <c r="B29" s="716"/>
      <c r="C29" s="716"/>
      <c r="D29" s="717"/>
      <c r="E29" s="273" t="s">
        <v>72</v>
      </c>
      <c r="F29" s="273"/>
      <c r="G29" s="345"/>
      <c r="H29" s="272" t="s">
        <v>224</v>
      </c>
      <c r="I29" s="273"/>
      <c r="J29" s="345"/>
      <c r="K29" s="272" t="s">
        <v>225</v>
      </c>
      <c r="L29" s="273"/>
      <c r="M29" s="345"/>
      <c r="N29" s="736" t="s">
        <v>226</v>
      </c>
      <c r="O29" s="737"/>
      <c r="P29" s="738"/>
      <c r="R29" s="3"/>
      <c r="S29" s="514" t="s">
        <v>227</v>
      </c>
      <c r="T29" s="515"/>
      <c r="U29" s="515"/>
      <c r="V29" s="515"/>
      <c r="W29" s="515"/>
      <c r="X29" s="515"/>
      <c r="Y29" s="515"/>
      <c r="Z29" s="516"/>
      <c r="AA29" s="734" t="str">
        <f>IF(Sheet2!J7=3,(SUM(E31:G33)/SUM(E30:G33)*100),"")</f>
        <v/>
      </c>
      <c r="AB29" s="734"/>
      <c r="AC29" s="735"/>
      <c r="AF29" s="5"/>
      <c r="AG29" s="66" t="s">
        <v>228</v>
      </c>
      <c r="AQ29" s="28" t="s">
        <v>229</v>
      </c>
      <c r="AR29" s="23">
        <f>Y11</f>
        <v>0</v>
      </c>
      <c r="AY29"/>
      <c r="AZ29"/>
      <c r="BA29"/>
      <c r="BB29"/>
      <c r="BC29"/>
      <c r="BD29"/>
      <c r="BE29"/>
      <c r="BF29"/>
      <c r="BG29"/>
      <c r="BH29"/>
      <c r="BI29"/>
      <c r="BJ29"/>
      <c r="BK29"/>
      <c r="BM29" s="228"/>
      <c r="BN29" s="228"/>
      <c r="BO29" s="228"/>
      <c r="BP29" s="228"/>
      <c r="BQ29" s="228"/>
      <c r="BR29" s="228"/>
      <c r="BS29" s="228"/>
      <c r="BT29" s="228"/>
      <c r="BU29" s="228"/>
      <c r="BV29" s="228"/>
      <c r="BW29" s="228"/>
    </row>
    <row r="30" spans="1:103" ht="12.6" customHeight="1" thickBot="1" x14ac:dyDescent="0.25">
      <c r="A30" s="595" t="s">
        <v>75</v>
      </c>
      <c r="B30" s="502"/>
      <c r="C30" s="502"/>
      <c r="D30" s="502"/>
      <c r="E30" s="526"/>
      <c r="F30" s="527"/>
      <c r="G30" s="528"/>
      <c r="H30" s="527"/>
      <c r="I30" s="527"/>
      <c r="J30" s="528"/>
      <c r="K30" s="508"/>
      <c r="L30" s="508"/>
      <c r="M30" s="508"/>
      <c r="N30" s="745">
        <f>IF(E30=0,0,ROUND(E30/H30/62.4,2))</f>
        <v>0</v>
      </c>
      <c r="O30" s="745"/>
      <c r="P30" s="746"/>
      <c r="R30" s="3"/>
      <c r="S30" s="513" t="s">
        <v>230</v>
      </c>
      <c r="T30" s="433"/>
      <c r="U30" s="433"/>
      <c r="V30" s="433"/>
      <c r="W30" s="433"/>
      <c r="X30" s="433"/>
      <c r="Y30" s="433"/>
      <c r="Z30" s="434"/>
      <c r="AA30" s="742">
        <f>SUM(E30:G33)</f>
        <v>0</v>
      </c>
      <c r="AB30" s="743"/>
      <c r="AC30" s="744"/>
      <c r="AF30" s="5"/>
      <c r="AG30" s="66" t="s">
        <v>231</v>
      </c>
      <c r="AQ30" s="28" t="s">
        <v>232</v>
      </c>
      <c r="AR30" s="29">
        <f>AA11</f>
        <v>0</v>
      </c>
      <c r="AY30"/>
      <c r="AZ30"/>
      <c r="BA30"/>
      <c r="BB30"/>
      <c r="BC30"/>
      <c r="BD30"/>
      <c r="BE30"/>
      <c r="BF30"/>
      <c r="BG30"/>
      <c r="BH30"/>
      <c r="BI30"/>
      <c r="BJ30"/>
      <c r="BK30"/>
      <c r="BM30" s="228"/>
      <c r="BN30" s="228"/>
      <c r="BO30" s="228"/>
      <c r="BP30" s="228"/>
      <c r="BQ30" s="228"/>
      <c r="BR30" s="228"/>
      <c r="BS30" s="228"/>
      <c r="BT30" s="228"/>
      <c r="BU30" s="228"/>
      <c r="BV30" s="228"/>
      <c r="BW30" s="228"/>
    </row>
    <row r="31" spans="1:103" ht="12.6" customHeight="1" thickBot="1" x14ac:dyDescent="0.25">
      <c r="A31" s="534" t="s">
        <v>77</v>
      </c>
      <c r="B31" s="502"/>
      <c r="C31" s="502"/>
      <c r="D31" s="502"/>
      <c r="E31" s="523"/>
      <c r="F31" s="524"/>
      <c r="G31" s="525"/>
      <c r="H31" s="524"/>
      <c r="I31" s="524"/>
      <c r="J31" s="525"/>
      <c r="K31" s="508"/>
      <c r="L31" s="508"/>
      <c r="M31" s="508"/>
      <c r="N31" s="745">
        <f>IF(OR(E31=0,H31=0),0,ROUND(E31/H31/62.4,2))</f>
        <v>0</v>
      </c>
      <c r="O31" s="745"/>
      <c r="P31" s="746"/>
      <c r="R31" s="3"/>
      <c r="S31" s="513" t="s">
        <v>233</v>
      </c>
      <c r="T31" s="433"/>
      <c r="U31" s="433"/>
      <c r="V31" s="433"/>
      <c r="W31" s="433"/>
      <c r="X31" s="433"/>
      <c r="Y31" s="433"/>
      <c r="Z31" s="434"/>
      <c r="AA31" s="747" t="str">
        <f>IF(Sheet2!G19=TRUE,Sheet2!G20,IF(Sheet2!G31=TRUE,Sheet2!G32,IF(Sheet2!G38=TRUE,Sheet2!G39,IF(Sheet2!G51=TRUE,Sheet2!G53,""))))</f>
        <v/>
      </c>
      <c r="AB31" s="748"/>
      <c r="AC31" s="230" t="str">
        <f>IF(AA31="","",":1")</f>
        <v/>
      </c>
      <c r="AG31" s="66" t="s">
        <v>234</v>
      </c>
      <c r="AQ31" s="28" t="s">
        <v>235</v>
      </c>
      <c r="AR31" s="23" t="e">
        <f>A15</f>
        <v>#N/A</v>
      </c>
      <c r="AY31"/>
      <c r="AZ31"/>
      <c r="BA31"/>
      <c r="BB31"/>
      <c r="BC31"/>
      <c r="BD31"/>
      <c r="BE31"/>
      <c r="BF31"/>
      <c r="BG31"/>
      <c r="BH31"/>
      <c r="BI31"/>
      <c r="BJ31"/>
      <c r="BK31"/>
      <c r="BM31" s="228"/>
      <c r="BN31" s="228"/>
      <c r="BO31" s="228"/>
      <c r="BP31" s="228"/>
      <c r="BQ31" s="228"/>
      <c r="BR31" s="228"/>
      <c r="BS31" s="228"/>
      <c r="BT31" s="228"/>
      <c r="BU31" s="228"/>
      <c r="BV31" s="228"/>
      <c r="BW31" s="228"/>
    </row>
    <row r="32" spans="1:103" ht="12.6" customHeight="1" thickBot="1" x14ac:dyDescent="0.25">
      <c r="A32" s="534" t="s">
        <v>78</v>
      </c>
      <c r="B32" s="502"/>
      <c r="C32" s="502"/>
      <c r="D32" s="502"/>
      <c r="E32" s="711"/>
      <c r="F32" s="671"/>
      <c r="G32" s="672"/>
      <c r="H32" s="671"/>
      <c r="I32" s="671"/>
      <c r="J32" s="672"/>
      <c r="K32" s="508"/>
      <c r="L32" s="508"/>
      <c r="M32" s="508"/>
      <c r="N32" s="745">
        <f>IF(OR(E32=0,H32=0),0,ROUND(E32/H32/62.4,2))</f>
        <v>0</v>
      </c>
      <c r="O32" s="745"/>
      <c r="P32" s="746"/>
      <c r="R32" s="3"/>
      <c r="S32" s="513" t="s">
        <v>236</v>
      </c>
      <c r="T32" s="433"/>
      <c r="U32" s="433"/>
      <c r="V32" s="433"/>
      <c r="W32" s="433"/>
      <c r="X32" s="433"/>
      <c r="Y32" s="433"/>
      <c r="Z32" s="434"/>
      <c r="AA32" s="747" t="str">
        <f>IF(Sheet2!G21=TRUE,Sheet2!G22,IF(Sheet2!G33=TRUE,Sheet2!G34,IF(Sheet2!G40=TRUE,Sheet2!G41,"")))</f>
        <v/>
      </c>
      <c r="AB32" s="748"/>
      <c r="AC32" s="230" t="str">
        <f>IF(AA32="","",":1")</f>
        <v/>
      </c>
      <c r="AG32" s="66" t="s">
        <v>237</v>
      </c>
      <c r="AQ32" s="28" t="s">
        <v>238</v>
      </c>
      <c r="AR32" s="127">
        <f>D15</f>
        <v>0</v>
      </c>
      <c r="AY32"/>
      <c r="AZ32"/>
      <c r="BA32"/>
      <c r="BB32"/>
      <c r="BC32"/>
      <c r="BD32"/>
      <c r="BE32"/>
      <c r="BF32"/>
      <c r="BG32"/>
      <c r="BH32"/>
      <c r="BI32"/>
      <c r="BJ32"/>
      <c r="BK32"/>
      <c r="BM32" s="228"/>
      <c r="BN32" s="228"/>
      <c r="BO32" s="228"/>
      <c r="BP32" s="228"/>
      <c r="BQ32" s="228"/>
      <c r="BR32" s="228"/>
      <c r="BS32" s="228"/>
      <c r="BT32" s="228"/>
      <c r="BU32" s="228"/>
      <c r="BV32" s="228"/>
      <c r="BW32" s="228"/>
    </row>
    <row r="33" spans="1:75" ht="12.6" customHeight="1" thickBot="1" x14ac:dyDescent="0.25">
      <c r="A33" s="595" t="s">
        <v>239</v>
      </c>
      <c r="B33" s="502"/>
      <c r="C33" s="502"/>
      <c r="D33" s="502"/>
      <c r="E33" s="523"/>
      <c r="F33" s="524"/>
      <c r="G33" s="525"/>
      <c r="H33" s="524"/>
      <c r="I33" s="524"/>
      <c r="J33" s="525"/>
      <c r="K33" s="508"/>
      <c r="L33" s="508"/>
      <c r="M33" s="508"/>
      <c r="N33" s="745">
        <f>IF(OR(E33=0,H33=0),0,ROUND(E33/H33/62.4,2))</f>
        <v>0</v>
      </c>
      <c r="O33" s="745"/>
      <c r="P33" s="746"/>
      <c r="R33" s="3"/>
      <c r="S33" s="513" t="s">
        <v>240</v>
      </c>
      <c r="T33" s="433"/>
      <c r="U33" s="433"/>
      <c r="V33" s="433"/>
      <c r="W33" s="433"/>
      <c r="X33" s="433"/>
      <c r="Y33" s="433"/>
      <c r="Z33" s="434"/>
      <c r="AA33" s="745" t="str">
        <f>IF(Sheet2!G17=TRUE,Sheet2!G18,IF(Sheet2!G29=TRUE,Sheet2!G30,IF(Sheet2!G36=TRUE,Sheet2!G37,IF(Sheet2!G50=TRUE,Sheet2!G52,""))))</f>
        <v/>
      </c>
      <c r="AB33" s="745"/>
      <c r="AC33" s="746"/>
      <c r="AG33" s="66" t="s">
        <v>241</v>
      </c>
      <c r="AQ33" s="28" t="s">
        <v>242</v>
      </c>
      <c r="AR33" s="23">
        <f>U15</f>
        <v>0</v>
      </c>
      <c r="AY33"/>
      <c r="AZ33"/>
      <c r="BA33"/>
      <c r="BB33"/>
      <c r="BC33"/>
      <c r="BD33"/>
      <c r="BE33"/>
      <c r="BF33"/>
      <c r="BG33"/>
      <c r="BH33"/>
      <c r="BI33"/>
      <c r="BJ33"/>
      <c r="BK33"/>
      <c r="BM33" s="228"/>
      <c r="BN33" s="228"/>
      <c r="BO33" s="228"/>
      <c r="BP33" s="228"/>
      <c r="BQ33" s="228"/>
      <c r="BR33" s="228"/>
      <c r="BS33" s="228"/>
      <c r="BT33" s="228"/>
      <c r="BU33" s="228"/>
      <c r="BV33" s="228"/>
      <c r="BW33" s="228"/>
    </row>
    <row r="34" spans="1:75" ht="12.6" customHeight="1" thickBot="1" x14ac:dyDescent="0.25">
      <c r="A34" s="595" t="s">
        <v>243</v>
      </c>
      <c r="B34" s="502"/>
      <c r="C34" s="502"/>
      <c r="D34" s="502"/>
      <c r="E34" s="523"/>
      <c r="F34" s="524"/>
      <c r="G34" s="525"/>
      <c r="H34" s="524"/>
      <c r="I34" s="524"/>
      <c r="J34" s="525"/>
      <c r="K34" s="508"/>
      <c r="L34" s="508"/>
      <c r="M34" s="508"/>
      <c r="N34" s="745">
        <f>IF(OR(E34=0,H34=0),0,ROUND(E34/H34/62.4,2))</f>
        <v>0</v>
      </c>
      <c r="O34" s="745"/>
      <c r="P34" s="746"/>
      <c r="R34" s="3"/>
      <c r="S34" s="513" t="s">
        <v>244</v>
      </c>
      <c r="T34" s="433"/>
      <c r="U34" s="433"/>
      <c r="V34" s="433"/>
      <c r="W34" s="433"/>
      <c r="X34" s="433"/>
      <c r="Y34" s="433"/>
      <c r="Z34" s="434"/>
      <c r="AA34" s="751" t="str">
        <f>IFERROR((E31/E30)*100,"")</f>
        <v/>
      </c>
      <c r="AB34" s="751"/>
      <c r="AC34" s="752"/>
      <c r="AG34" s="66" t="s">
        <v>245</v>
      </c>
      <c r="AQ34" s="28" t="s">
        <v>246</v>
      </c>
      <c r="AR34" s="23" t="e">
        <f>A16</f>
        <v>#N/A</v>
      </c>
      <c r="AY34"/>
      <c r="AZ34"/>
      <c r="BA34"/>
      <c r="BB34"/>
      <c r="BC34"/>
      <c r="BD34"/>
      <c r="BE34"/>
      <c r="BF34"/>
      <c r="BG34"/>
      <c r="BH34"/>
      <c r="BI34"/>
      <c r="BJ34"/>
      <c r="BK34"/>
      <c r="BM34" s="228"/>
      <c r="BN34" s="228"/>
      <c r="BO34" s="228"/>
      <c r="BP34" s="228"/>
      <c r="BQ34" s="228"/>
      <c r="BR34" s="228"/>
      <c r="BS34" s="228"/>
      <c r="BT34" s="228"/>
      <c r="BU34" s="228"/>
      <c r="BV34" s="228"/>
      <c r="BW34" s="228"/>
    </row>
    <row r="35" spans="1:75" ht="12.6" customHeight="1" thickBot="1" x14ac:dyDescent="0.25">
      <c r="A35" s="693" t="s">
        <v>81</v>
      </c>
      <c r="B35" s="723" t="s">
        <v>82</v>
      </c>
      <c r="C35" s="433"/>
      <c r="D35" s="434"/>
      <c r="E35" s="526"/>
      <c r="F35" s="527"/>
      <c r="G35" s="528"/>
      <c r="H35" s="527"/>
      <c r="I35" s="527"/>
      <c r="J35" s="528"/>
      <c r="K35" s="527"/>
      <c r="L35" s="527"/>
      <c r="M35" s="528"/>
      <c r="N35" s="745">
        <f>IF(OR(E35=0,H35=0,K35=0),0,ROUND(E35/H35/62.4,2))</f>
        <v>0</v>
      </c>
      <c r="O35" s="745"/>
      <c r="P35" s="746"/>
      <c r="R35" s="3"/>
      <c r="S35" s="534" t="s">
        <v>247</v>
      </c>
      <c r="T35" s="502"/>
      <c r="U35" s="502"/>
      <c r="V35" s="502"/>
      <c r="W35" s="502"/>
      <c r="X35" s="502"/>
      <c r="Y35" s="502"/>
      <c r="Z35" s="502"/>
      <c r="AA35" s="751" t="str">
        <f>IF(Sheet2!G47=TRUE,Sheet2!G48,IF(Sheet2!G24=TRUE,Sheet2!G26,""))</f>
        <v/>
      </c>
      <c r="AB35" s="751"/>
      <c r="AC35" s="752"/>
      <c r="AG35" s="66" t="s">
        <v>79</v>
      </c>
      <c r="AQ35" s="28" t="s">
        <v>248</v>
      </c>
      <c r="AR35" s="29">
        <f>D16</f>
        <v>0</v>
      </c>
      <c r="AY35"/>
      <c r="AZ35"/>
      <c r="BA35"/>
      <c r="BB35"/>
      <c r="BC35"/>
      <c r="BD35"/>
      <c r="BE35"/>
      <c r="BF35"/>
      <c r="BG35"/>
      <c r="BH35"/>
      <c r="BI35"/>
      <c r="BJ35"/>
      <c r="BK35"/>
      <c r="BM35" s="228"/>
      <c r="BN35" s="228"/>
      <c r="BO35" s="228"/>
      <c r="BP35" s="228"/>
      <c r="BQ35" s="228"/>
      <c r="BR35" s="228"/>
      <c r="BS35" s="228"/>
      <c r="BT35" s="228"/>
      <c r="BU35" s="228"/>
      <c r="BV35" s="228"/>
      <c r="BW35" s="228"/>
    </row>
    <row r="36" spans="1:75" ht="12.6" customHeight="1" thickBot="1" x14ac:dyDescent="0.25">
      <c r="A36" s="694"/>
      <c r="B36" s="723" t="s">
        <v>249</v>
      </c>
      <c r="C36" s="433"/>
      <c r="D36" s="434"/>
      <c r="E36" s="526"/>
      <c r="F36" s="527"/>
      <c r="G36" s="528"/>
      <c r="H36" s="527"/>
      <c r="I36" s="527"/>
      <c r="J36" s="528"/>
      <c r="K36" s="527"/>
      <c r="L36" s="527"/>
      <c r="M36" s="528"/>
      <c r="N36" s="745">
        <f>IF(OR(E36=0,H36=0,K36=0),0,ROUND(E36/H36/62.4,2))</f>
        <v>0</v>
      </c>
      <c r="O36" s="745"/>
      <c r="P36" s="746"/>
      <c r="R36" s="3"/>
      <c r="S36" s="595" t="s">
        <v>250</v>
      </c>
      <c r="T36" s="502"/>
      <c r="U36" s="502"/>
      <c r="V36" s="502"/>
      <c r="W36" s="502"/>
      <c r="X36" s="502"/>
      <c r="Y36" s="502"/>
      <c r="Z36" s="502"/>
      <c r="AA36" s="749" t="str">
        <f>IFERROR(IF(AND(Gradation!R19=0,Gradation!AC43=0),"Yes","No"),"")</f>
        <v/>
      </c>
      <c r="AB36" s="749"/>
      <c r="AC36" s="750"/>
      <c r="AG36" s="5"/>
      <c r="AQ36" s="28" t="s">
        <v>251</v>
      </c>
      <c r="AR36" s="23">
        <f>U16</f>
        <v>0</v>
      </c>
      <c r="AY36"/>
      <c r="AZ36"/>
      <c r="BA36"/>
      <c r="BB36"/>
      <c r="BC36"/>
      <c r="BD36"/>
      <c r="BE36"/>
      <c r="BF36"/>
      <c r="BG36"/>
      <c r="BH36"/>
      <c r="BI36"/>
      <c r="BJ36"/>
      <c r="BK36"/>
    </row>
    <row r="37" spans="1:75" ht="12.6" customHeight="1" thickBot="1" x14ac:dyDescent="0.25">
      <c r="A37" s="694"/>
      <c r="B37" s="733"/>
      <c r="C37" s="444"/>
      <c r="D37" s="445"/>
      <c r="E37" s="237"/>
      <c r="F37" s="547"/>
      <c r="G37" s="238"/>
      <c r="H37" s="544"/>
      <c r="I37" s="545"/>
      <c r="J37" s="546"/>
      <c r="K37" s="234"/>
      <c r="L37" s="529"/>
      <c r="M37" s="235"/>
      <c r="N37" s="758"/>
      <c r="O37" s="759"/>
      <c r="P37" s="760"/>
      <c r="R37" s="3"/>
      <c r="S37" s="595" t="s">
        <v>252</v>
      </c>
      <c r="T37" s="502"/>
      <c r="U37" s="502"/>
      <c r="V37" s="502"/>
      <c r="W37" s="502"/>
      <c r="X37" s="502"/>
      <c r="Y37" s="502"/>
      <c r="Z37" s="502"/>
      <c r="AA37" s="753" t="str">
        <f>IFERROR(IF(AND(Gradation!R19=0,Gradation!AC44=0),"Yes","No"),"")</f>
        <v/>
      </c>
      <c r="AB37" s="754"/>
      <c r="AC37" s="755"/>
      <c r="AG37" s="5"/>
      <c r="AQ37" s="28"/>
      <c r="AR37" s="23"/>
      <c r="AY37"/>
      <c r="AZ37"/>
      <c r="BA37"/>
      <c r="BB37"/>
      <c r="BC37"/>
      <c r="BD37"/>
      <c r="BE37"/>
      <c r="BF37"/>
      <c r="BG37"/>
      <c r="BH37"/>
      <c r="BI37"/>
      <c r="BJ37"/>
      <c r="BK37"/>
    </row>
    <row r="38" spans="1:75" ht="12.6" customHeight="1" thickBot="1" x14ac:dyDescent="0.25">
      <c r="A38" s="695"/>
      <c r="B38" s="723" t="s">
        <v>253</v>
      </c>
      <c r="C38" s="433"/>
      <c r="D38" s="434"/>
      <c r="E38" s="237"/>
      <c r="F38" s="547"/>
      <c r="G38" s="238"/>
      <c r="H38" s="544"/>
      <c r="I38" s="545"/>
      <c r="J38" s="546"/>
      <c r="K38" s="234"/>
      <c r="L38" s="529"/>
      <c r="M38" s="235"/>
      <c r="N38" s="745">
        <f>IF(OR(E38=0,H38=0,K38=0),0,ROUND(E38/H38/62.4,2))</f>
        <v>0</v>
      </c>
      <c r="O38" s="745"/>
      <c r="P38" s="746"/>
      <c r="R38" s="3"/>
      <c r="S38" s="534" t="s">
        <v>254</v>
      </c>
      <c r="T38" s="502"/>
      <c r="U38" s="502"/>
      <c r="V38" s="502"/>
      <c r="W38" s="502"/>
      <c r="X38" s="502"/>
      <c r="Y38" s="502"/>
      <c r="Z38" s="502"/>
      <c r="AA38" s="756" t="e">
        <f>(E39+E41)/(E30+E31+E32+E33)</f>
        <v>#DIV/0!</v>
      </c>
      <c r="AB38" s="756"/>
      <c r="AC38" s="757"/>
      <c r="AQ38" s="28" t="s">
        <v>255</v>
      </c>
      <c r="AR38" s="23" t="e">
        <f>A17</f>
        <v>#N/A</v>
      </c>
      <c r="AY38"/>
      <c r="AZ38"/>
      <c r="BA38"/>
      <c r="BB38"/>
      <c r="BC38"/>
      <c r="BD38"/>
      <c r="BE38"/>
      <c r="BF38"/>
      <c r="BG38"/>
      <c r="BH38"/>
      <c r="BI38"/>
      <c r="BJ38"/>
      <c r="BK38"/>
    </row>
    <row r="39" spans="1:75" ht="12.6" customHeight="1" thickBot="1" x14ac:dyDescent="0.25">
      <c r="A39" s="673" t="s">
        <v>256</v>
      </c>
      <c r="B39" s="674"/>
      <c r="C39" s="674"/>
      <c r="D39" s="675"/>
      <c r="E39" s="724"/>
      <c r="F39" s="725"/>
      <c r="G39" s="726"/>
      <c r="H39" s="730">
        <v>1</v>
      </c>
      <c r="I39" s="587"/>
      <c r="J39" s="731"/>
      <c r="K39" s="536"/>
      <c r="L39" s="537"/>
      <c r="M39" s="538"/>
      <c r="N39" s="766">
        <f>IF(E39=0,0,ROUND(E39/H39/62.4,2))</f>
        <v>0</v>
      </c>
      <c r="O39" s="767"/>
      <c r="P39" s="768"/>
      <c r="R39" s="3"/>
      <c r="S39" s="513" t="s">
        <v>257</v>
      </c>
      <c r="T39" s="433"/>
      <c r="U39" s="433"/>
      <c r="V39" s="433"/>
      <c r="W39" s="433"/>
      <c r="X39" s="433"/>
      <c r="Y39" s="433"/>
      <c r="Z39" s="434"/>
      <c r="AA39" s="761"/>
      <c r="AB39" s="762"/>
      <c r="AC39" s="763"/>
      <c r="AG39" s="5" t="s">
        <v>258</v>
      </c>
      <c r="AQ39" s="28" t="s">
        <v>259</v>
      </c>
      <c r="AR39" s="127">
        <f>D17</f>
        <v>0</v>
      </c>
      <c r="AY39"/>
      <c r="AZ39"/>
      <c r="BA39"/>
      <c r="BB39"/>
      <c r="BC39"/>
      <c r="BD39"/>
      <c r="BE39"/>
      <c r="BF39"/>
      <c r="BG39"/>
      <c r="BH39"/>
      <c r="BI39"/>
      <c r="BJ39"/>
      <c r="BK39"/>
    </row>
    <row r="40" spans="1:75" ht="12.6" customHeight="1" thickBot="1" x14ac:dyDescent="0.25">
      <c r="A40" s="676"/>
      <c r="B40" s="677"/>
      <c r="C40" s="677"/>
      <c r="D40" s="678"/>
      <c r="E40" s="727"/>
      <c r="F40" s="728"/>
      <c r="G40" s="729"/>
      <c r="H40" s="589"/>
      <c r="I40" s="590"/>
      <c r="J40" s="732"/>
      <c r="K40" s="539"/>
      <c r="L40" s="540"/>
      <c r="M40" s="541"/>
      <c r="N40" s="769"/>
      <c r="O40" s="770"/>
      <c r="P40" s="771"/>
      <c r="R40" s="3"/>
      <c r="S40" s="602" t="s">
        <v>260</v>
      </c>
      <c r="T40" s="603"/>
      <c r="U40" s="603"/>
      <c r="V40" s="603"/>
      <c r="W40" s="603"/>
      <c r="X40" s="603"/>
      <c r="Y40" s="603"/>
      <c r="Z40" s="603"/>
      <c r="AA40" s="764" t="str">
        <f>IFERROR(E35/(E35+E36+E38)*100,"")</f>
        <v/>
      </c>
      <c r="AB40" s="764"/>
      <c r="AC40" s="765"/>
      <c r="AG40" s="5"/>
      <c r="AQ40" s="28" t="s">
        <v>261</v>
      </c>
      <c r="AR40" s="23">
        <f>U17</f>
        <v>0</v>
      </c>
      <c r="AY40"/>
      <c r="AZ40"/>
      <c r="BA40"/>
      <c r="BB40"/>
      <c r="BC40"/>
      <c r="BD40"/>
      <c r="BE40"/>
      <c r="BF40"/>
      <c r="BG40"/>
      <c r="BH40"/>
      <c r="BI40"/>
      <c r="BJ40"/>
      <c r="BK40"/>
    </row>
    <row r="41" spans="1:75" ht="12.6" customHeight="1" thickBot="1" x14ac:dyDescent="0.25">
      <c r="A41" s="534" t="s">
        <v>262</v>
      </c>
      <c r="B41" s="502"/>
      <c r="C41" s="502"/>
      <c r="D41" s="502"/>
      <c r="E41" s="523"/>
      <c r="F41" s="524"/>
      <c r="G41" s="533"/>
      <c r="H41" s="535">
        <v>1</v>
      </c>
      <c r="I41" s="535"/>
      <c r="J41" s="535"/>
      <c r="K41" s="508"/>
      <c r="L41" s="508"/>
      <c r="M41" s="508"/>
      <c r="N41" s="745">
        <f>IF(E41=0,0,ROUND(E41/H41/62.4,2))</f>
        <v>0</v>
      </c>
      <c r="O41" s="745"/>
      <c r="P41" s="746"/>
      <c r="R41" s="3"/>
      <c r="S41" s="534" t="s">
        <v>263</v>
      </c>
      <c r="T41" s="502"/>
      <c r="U41" s="502"/>
      <c r="V41" s="502"/>
      <c r="W41" s="502"/>
      <c r="X41" s="502"/>
      <c r="Y41" s="502"/>
      <c r="Z41" s="502"/>
      <c r="AA41" s="751" t="str">
        <f>IFERROR(N35*100/SUM(N35:N38),"")</f>
        <v/>
      </c>
      <c r="AB41" s="751"/>
      <c r="AC41" s="752"/>
      <c r="AG41" s="5" t="s">
        <v>37</v>
      </c>
      <c r="AQ41" s="28" t="s">
        <v>264</v>
      </c>
      <c r="AR41" s="23">
        <f>AA15</f>
        <v>0</v>
      </c>
      <c r="AY41"/>
      <c r="AZ41"/>
      <c r="BA41"/>
      <c r="BB41"/>
      <c r="BC41"/>
      <c r="BD41"/>
      <c r="BE41"/>
      <c r="BF41"/>
      <c r="BG41"/>
      <c r="BH41"/>
      <c r="BI41"/>
      <c r="BJ41"/>
      <c r="BK41"/>
    </row>
    <row r="42" spans="1:75" ht="12.6" customHeight="1" thickBot="1" x14ac:dyDescent="0.25">
      <c r="A42" s="542" t="s">
        <v>265</v>
      </c>
      <c r="B42" s="434"/>
      <c r="C42" s="782"/>
      <c r="D42" s="782"/>
      <c r="E42" s="530"/>
      <c r="F42" s="531"/>
      <c r="G42" s="532"/>
      <c r="H42" s="535">
        <v>0</v>
      </c>
      <c r="I42" s="535"/>
      <c r="J42" s="535"/>
      <c r="K42" s="508"/>
      <c r="L42" s="508"/>
      <c r="M42" s="508"/>
      <c r="N42" s="745">
        <f>(C42/100)*27</f>
        <v>0</v>
      </c>
      <c r="O42" s="745"/>
      <c r="P42" s="746"/>
      <c r="R42" s="3"/>
      <c r="S42" s="513" t="str">
        <f>IF(OR(V6=501,V6="730*"),"*** % Passing 1 inch sieve","% Passing 1 inch sieve")</f>
        <v>% Passing 1 inch sieve</v>
      </c>
      <c r="T42" s="433"/>
      <c r="U42" s="433"/>
      <c r="V42" s="433"/>
      <c r="W42" s="433"/>
      <c r="X42" s="433"/>
      <c r="Y42" s="433"/>
      <c r="Z42" s="433"/>
      <c r="AA42" s="777" t="str">
        <f>IF(AND(S42="*** % Passing 1 inch sieve",OR(S9="QA",S10="QA",S11="QA")),K12,IF(AND(S42="*** % Passing 1 inch sieve",OR(S9="#8",S10="#8",S11="#8")),100,""))</f>
        <v/>
      </c>
      <c r="AB42" s="778"/>
      <c r="AC42" s="779"/>
      <c r="AG42" s="5" t="s">
        <v>40</v>
      </c>
      <c r="AQ42" s="28" t="s">
        <v>266</v>
      </c>
      <c r="AR42" s="23">
        <f>AA17</f>
        <v>0</v>
      </c>
      <c r="AY42"/>
      <c r="AZ42"/>
      <c r="BA42"/>
      <c r="BB42"/>
      <c r="BC42"/>
      <c r="BD42"/>
      <c r="BE42"/>
      <c r="BF42"/>
      <c r="BG42"/>
      <c r="BH42"/>
      <c r="BI42"/>
      <c r="BJ42"/>
      <c r="BK42"/>
    </row>
    <row r="43" spans="1:75" ht="12.6" customHeight="1" thickBot="1" x14ac:dyDescent="0.25">
      <c r="A43" s="534" t="s">
        <v>267</v>
      </c>
      <c r="B43" s="502"/>
      <c r="C43" s="502"/>
      <c r="D43" s="502"/>
      <c r="E43" s="578">
        <f>SUM(E30:E42)</f>
        <v>0</v>
      </c>
      <c r="F43" s="579"/>
      <c r="G43" s="580"/>
      <c r="H43" s="508"/>
      <c r="I43" s="508"/>
      <c r="J43" s="508"/>
      <c r="K43" s="508"/>
      <c r="L43" s="508"/>
      <c r="M43" s="508"/>
      <c r="N43" s="745"/>
      <c r="O43" s="745"/>
      <c r="P43" s="746"/>
      <c r="R43" s="3"/>
      <c r="S43" s="581" t="str">
        <f>IF(OR(V6=501,V6="730*"), "** % Passing No. 200 sieve","% Passing No. 200 sieve")</f>
        <v>% Passing No. 200 sieve</v>
      </c>
      <c r="T43" s="582"/>
      <c r="U43" s="582"/>
      <c r="V43" s="582"/>
      <c r="W43" s="582"/>
      <c r="X43" s="582"/>
      <c r="Y43" s="582"/>
      <c r="Z43" s="583"/>
      <c r="AA43" s="780" t="str">
        <f>IFERROR(IF(OR(V6="501 QC/QA PCCP",V6="730*"),100*(((AB12*E35/(1+K35/100))+(W12*E36/(1+K36/100)))/(E35/(1+K35/100)+E36/(1+K36/100))),""),"")</f>
        <v/>
      </c>
      <c r="AB43" s="780"/>
      <c r="AC43" s="781"/>
      <c r="AG43" s="5" t="s">
        <v>42</v>
      </c>
      <c r="AQ43" s="28" t="s">
        <v>268</v>
      </c>
      <c r="AR43" s="129" t="e">
        <f>A20</f>
        <v>#N/A</v>
      </c>
      <c r="AY43"/>
      <c r="AZ43"/>
      <c r="BA43"/>
      <c r="BB43"/>
      <c r="BC43"/>
      <c r="BD43"/>
      <c r="BE43"/>
      <c r="BF43"/>
      <c r="BG43"/>
      <c r="BH43"/>
      <c r="BI43"/>
      <c r="BJ43"/>
      <c r="BK43"/>
    </row>
    <row r="44" spans="1:75" ht="18" customHeight="1" thickBot="1" x14ac:dyDescent="0.25">
      <c r="A44" s="550"/>
      <c r="B44" s="551"/>
      <c r="C44" s="551"/>
      <c r="D44" s="551"/>
      <c r="E44" s="551"/>
      <c r="F44" s="551"/>
      <c r="G44" s="551"/>
      <c r="H44" s="551"/>
      <c r="I44" s="551"/>
      <c r="J44" s="408" t="s">
        <v>269</v>
      </c>
      <c r="K44" s="408"/>
      <c r="L44" s="408"/>
      <c r="M44" s="552"/>
      <c r="N44" s="772"/>
      <c r="O44" s="773"/>
      <c r="P44" s="774"/>
      <c r="S44" s="570" t="s">
        <v>270</v>
      </c>
      <c r="T44" s="571"/>
      <c r="U44" s="571"/>
      <c r="V44" s="571"/>
      <c r="W44" s="571"/>
      <c r="X44" s="571"/>
      <c r="Y44" s="571"/>
      <c r="Z44" s="571"/>
      <c r="AA44" s="775" t="e">
        <f>((N30+N31+N32+N33+N39+N41+N42)/N43)*100</f>
        <v>#DIV/0!</v>
      </c>
      <c r="AB44" s="775"/>
      <c r="AC44" s="776"/>
      <c r="AG44" s="5" t="s">
        <v>45</v>
      </c>
      <c r="AQ44" s="32" t="s">
        <v>271</v>
      </c>
      <c r="AR44" s="127" t="e">
        <f>D20</f>
        <v>#N/A</v>
      </c>
      <c r="AY44"/>
      <c r="AZ44"/>
      <c r="BA44"/>
      <c r="BB44"/>
      <c r="BC44"/>
      <c r="BD44"/>
      <c r="BE44"/>
      <c r="BF44"/>
      <c r="BG44"/>
      <c r="BH44"/>
      <c r="BI44"/>
      <c r="BJ44"/>
      <c r="BK44"/>
    </row>
    <row r="45" spans="1:75" ht="18" customHeight="1" thickBot="1" x14ac:dyDescent="0.25">
      <c r="A45" s="184"/>
      <c r="B45" s="184"/>
      <c r="C45" s="184"/>
      <c r="D45" s="184"/>
      <c r="E45" s="184"/>
      <c r="F45" s="184"/>
      <c r="G45" s="184"/>
      <c r="H45" s="184"/>
      <c r="I45" s="184"/>
      <c r="J45" s="68"/>
      <c r="K45" s="68"/>
      <c r="L45" s="68"/>
      <c r="M45" s="68"/>
      <c r="N45" s="182"/>
      <c r="O45" s="182"/>
      <c r="P45" s="182"/>
      <c r="S45" s="598" t="s">
        <v>272</v>
      </c>
      <c r="T45" s="599"/>
      <c r="U45" s="599"/>
      <c r="V45" s="599"/>
      <c r="W45" s="599"/>
      <c r="X45" s="599"/>
      <c r="Y45" s="599"/>
      <c r="Z45" s="599"/>
      <c r="AA45" s="783"/>
      <c r="AB45" s="784"/>
      <c r="AC45" s="231"/>
      <c r="AG45" s="5" t="s">
        <v>47</v>
      </c>
      <c r="AP45" s="3"/>
      <c r="AQ45" s="32"/>
      <c r="AR45" s="127"/>
      <c r="AY45"/>
      <c r="AZ45"/>
      <c r="BA45"/>
      <c r="BB45"/>
      <c r="BC45"/>
      <c r="BD45"/>
      <c r="BE45"/>
      <c r="BF45"/>
      <c r="BG45"/>
      <c r="BH45"/>
      <c r="BI45"/>
      <c r="BJ45"/>
      <c r="BK45"/>
    </row>
    <row r="46" spans="1:75" ht="16.5" customHeight="1" thickBot="1" x14ac:dyDescent="0.25">
      <c r="A46" s="567" t="s">
        <v>273</v>
      </c>
      <c r="B46" s="568"/>
      <c r="C46" s="568"/>
      <c r="D46" s="568"/>
      <c r="E46" s="568"/>
      <c r="F46" s="568"/>
      <c r="G46" s="568"/>
      <c r="H46" s="568"/>
      <c r="I46" s="568"/>
      <c r="J46" s="568"/>
      <c r="K46" s="568"/>
      <c r="L46" s="568"/>
      <c r="M46" s="592" t="str">
        <f>IF(V6="501 QC/QA PCCP","***501 QC/QA PCCP MUST HAVE A POZZOLAN***"," ")</f>
        <v xml:space="preserve"> </v>
      </c>
      <c r="N46" s="592"/>
      <c r="O46" s="592"/>
      <c r="P46" s="592"/>
      <c r="Q46" s="592"/>
      <c r="R46" s="592"/>
      <c r="S46" s="592"/>
      <c r="T46" s="592"/>
      <c r="U46" s="592"/>
      <c r="V46" s="592"/>
      <c r="W46" s="592"/>
      <c r="X46" s="592"/>
      <c r="Y46" s="592"/>
      <c r="Z46" s="592"/>
      <c r="AA46" s="592"/>
      <c r="AB46" s="592"/>
      <c r="AC46" s="592"/>
      <c r="AG46" s="5" t="s">
        <v>50</v>
      </c>
      <c r="AP46" s="3"/>
      <c r="AQ46" s="32" t="s">
        <v>274</v>
      </c>
      <c r="AR46" s="33">
        <f>M20</f>
        <v>0</v>
      </c>
      <c r="AY46"/>
      <c r="AZ46"/>
      <c r="BA46"/>
      <c r="BB46"/>
      <c r="BC46"/>
      <c r="BD46"/>
      <c r="BE46"/>
      <c r="BF46"/>
      <c r="BG46"/>
      <c r="BH46"/>
      <c r="BI46"/>
      <c r="BJ46"/>
      <c r="BK46"/>
    </row>
    <row r="47" spans="1:75" ht="18.75" customHeight="1" thickBot="1" x14ac:dyDescent="0.25">
      <c r="A47" s="2"/>
      <c r="B47" s="2"/>
      <c r="E47" s="5" t="s">
        <v>275</v>
      </c>
      <c r="M47" s="576"/>
      <c r="N47" s="576"/>
      <c r="O47" s="576"/>
      <c r="P47" s="576"/>
      <c r="Q47" s="576"/>
      <c r="R47" s="576"/>
      <c r="S47" s="576"/>
      <c r="T47" s="576"/>
      <c r="U47" s="576"/>
      <c r="V47" s="576"/>
      <c r="W47" s="576"/>
      <c r="X47" s="270" t="s">
        <v>276</v>
      </c>
      <c r="Y47" s="270"/>
      <c r="Z47" s="577"/>
      <c r="AA47" s="576"/>
      <c r="AB47" s="576"/>
      <c r="AC47" s="576"/>
      <c r="AD47" s="6"/>
      <c r="AG47" s="5" t="s">
        <v>277</v>
      </c>
      <c r="AO47" s="123"/>
      <c r="AP47" s="124"/>
      <c r="AQ47" s="32" t="s">
        <v>181</v>
      </c>
      <c r="AR47" s="127" t="e">
        <f>U20</f>
        <v>#N/A</v>
      </c>
      <c r="AY47"/>
      <c r="AZ47"/>
      <c r="BA47"/>
      <c r="BB47"/>
      <c r="BC47"/>
      <c r="BD47"/>
      <c r="BE47"/>
      <c r="BF47"/>
      <c r="BG47"/>
      <c r="BH47"/>
      <c r="BI47"/>
      <c r="BJ47"/>
      <c r="BK47"/>
    </row>
    <row r="48" spans="1:75" ht="16.5" customHeight="1" thickBot="1" x14ac:dyDescent="0.25">
      <c r="A48" s="213"/>
      <c r="M48" s="40"/>
      <c r="N48" s="557" t="s">
        <v>278</v>
      </c>
      <c r="O48" s="557"/>
      <c r="P48" s="557"/>
      <c r="Q48" s="557"/>
      <c r="R48" s="557"/>
      <c r="S48" s="557"/>
      <c r="T48" s="557"/>
      <c r="U48" s="557"/>
      <c r="V48" s="557"/>
      <c r="W48" s="557"/>
      <c r="X48" s="557"/>
      <c r="Y48" s="557"/>
      <c r="Z48" s="553"/>
      <c r="AA48" s="553"/>
      <c r="AB48" s="553"/>
      <c r="AC48" s="553"/>
      <c r="AD48" s="34"/>
      <c r="AG48" s="5"/>
      <c r="AP48" s="3"/>
      <c r="AQ48" s="32" t="s">
        <v>279</v>
      </c>
      <c r="AR48" s="127" t="e">
        <f>X20</f>
        <v>#N/A</v>
      </c>
      <c r="AY48"/>
      <c r="AZ48"/>
      <c r="BA48"/>
      <c r="BB48"/>
      <c r="BC48"/>
      <c r="BD48"/>
      <c r="BE48"/>
      <c r="BF48"/>
      <c r="BG48"/>
      <c r="BH48"/>
      <c r="BI48"/>
      <c r="BJ48"/>
      <c r="BK48"/>
    </row>
    <row r="49" spans="1:63" ht="16.5" customHeight="1" thickBot="1" x14ac:dyDescent="0.25">
      <c r="A49" s="213"/>
      <c r="M49" s="41"/>
      <c r="N49" s="215"/>
      <c r="O49" s="215"/>
      <c r="P49" s="558" t="s">
        <v>280</v>
      </c>
      <c r="Q49" s="558"/>
      <c r="R49" s="558"/>
      <c r="S49" s="558"/>
      <c r="T49" s="558"/>
      <c r="U49" s="558"/>
      <c r="V49" s="558"/>
      <c r="W49" s="558"/>
      <c r="X49" s="558"/>
      <c r="Y49" s="558"/>
      <c r="Z49" s="559"/>
      <c r="AA49" s="559"/>
      <c r="AB49" s="559"/>
      <c r="AC49" s="559"/>
      <c r="AD49" s="34"/>
      <c r="AG49" s="5" t="s">
        <v>281</v>
      </c>
      <c r="AQ49" s="32" t="s">
        <v>282</v>
      </c>
      <c r="AR49" s="129" t="e">
        <f>A21</f>
        <v>#N/A</v>
      </c>
      <c r="AY49"/>
      <c r="AZ49"/>
      <c r="BA49"/>
      <c r="BB49"/>
      <c r="BC49"/>
      <c r="BD49"/>
      <c r="BE49"/>
      <c r="BF49"/>
      <c r="BG49"/>
      <c r="BH49"/>
      <c r="BI49"/>
      <c r="BJ49"/>
      <c r="BK49"/>
    </row>
    <row r="50" spans="1:63" ht="13.5" customHeight="1" thickBot="1" x14ac:dyDescent="0.25">
      <c r="A50" s="270" t="s">
        <v>283</v>
      </c>
      <c r="B50" s="270"/>
      <c r="C50" s="270"/>
      <c r="D50" s="270"/>
      <c r="E50" s="270"/>
      <c r="F50" s="270"/>
      <c r="G50" s="574"/>
      <c r="H50" s="575"/>
      <c r="I50" s="575"/>
      <c r="J50" s="575"/>
      <c r="K50" s="575"/>
      <c r="L50" s="575"/>
      <c r="M50" s="575"/>
      <c r="N50" s="575"/>
      <c r="O50" s="575"/>
      <c r="P50" s="575"/>
      <c r="Q50" s="575"/>
      <c r="R50" s="575"/>
      <c r="S50" s="575"/>
      <c r="T50" s="575"/>
      <c r="U50" s="575"/>
      <c r="V50" s="575"/>
      <c r="W50" s="575"/>
      <c r="X50" s="575"/>
      <c r="Y50" s="575"/>
      <c r="Z50" s="575"/>
      <c r="AA50" s="575"/>
      <c r="AB50" s="575"/>
      <c r="AC50" s="575"/>
      <c r="AD50" s="34"/>
      <c r="AQ50" s="32" t="s">
        <v>284</v>
      </c>
      <c r="AR50" s="23" t="e">
        <f>D20</f>
        <v>#N/A</v>
      </c>
      <c r="AY50"/>
      <c r="AZ50"/>
      <c r="BA50"/>
      <c r="BB50"/>
      <c r="BC50"/>
      <c r="BD50"/>
      <c r="BE50"/>
      <c r="BF50"/>
      <c r="BG50"/>
      <c r="BH50"/>
      <c r="BI50"/>
      <c r="BJ50"/>
      <c r="BK50"/>
    </row>
    <row r="51" spans="1:63" ht="13.5" customHeight="1" thickBot="1" x14ac:dyDescent="0.25">
      <c r="A51" s="563"/>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110"/>
      <c r="AG51" s="5" t="s">
        <v>1847</v>
      </c>
      <c r="AQ51" s="32" t="s">
        <v>285</v>
      </c>
      <c r="AR51" s="33">
        <f>M21</f>
        <v>0</v>
      </c>
      <c r="AY51"/>
      <c r="AZ51"/>
      <c r="BA51"/>
      <c r="BB51"/>
      <c r="BC51"/>
      <c r="BD51"/>
      <c r="BE51"/>
      <c r="BF51"/>
      <c r="BG51"/>
      <c r="BH51"/>
      <c r="BI51"/>
      <c r="BJ51"/>
      <c r="BK51"/>
    </row>
    <row r="52" spans="1:63" ht="12.75" customHeight="1" thickBot="1" x14ac:dyDescent="0.25">
      <c r="A52" s="564"/>
      <c r="B52" s="564"/>
      <c r="C52" s="564"/>
      <c r="D52" s="564"/>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110"/>
      <c r="AG52" s="5" t="s">
        <v>1848</v>
      </c>
      <c r="AQ52" s="32" t="s">
        <v>286</v>
      </c>
      <c r="AR52" s="23" t="e">
        <f>U21</f>
        <v>#N/A</v>
      </c>
      <c r="AY52"/>
      <c r="AZ52"/>
      <c r="BA52"/>
      <c r="BB52"/>
      <c r="BC52"/>
      <c r="BD52"/>
      <c r="BE52"/>
      <c r="BF52"/>
      <c r="BG52"/>
      <c r="BH52"/>
      <c r="BI52"/>
      <c r="BJ52"/>
      <c r="BK52"/>
    </row>
    <row r="53" spans="1:63" ht="12.75" customHeight="1" thickBot="1" x14ac:dyDescent="0.25">
      <c r="A53" s="270" t="s">
        <v>287</v>
      </c>
      <c r="B53" s="270"/>
      <c r="C53" s="270"/>
      <c r="D53" s="270"/>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110"/>
      <c r="AG53" s="5" t="s">
        <v>1849</v>
      </c>
      <c r="AQ53" s="32" t="s">
        <v>288</v>
      </c>
      <c r="AR53" s="29" t="e">
        <f>X21</f>
        <v>#N/A</v>
      </c>
      <c r="AY53"/>
      <c r="AZ53"/>
      <c r="BA53"/>
      <c r="BB53"/>
      <c r="BC53"/>
      <c r="BD53"/>
      <c r="BE53"/>
      <c r="BF53"/>
      <c r="BG53"/>
      <c r="BH53"/>
      <c r="BI53"/>
      <c r="BJ53"/>
      <c r="BK53"/>
    </row>
    <row r="54" spans="1:63" ht="12.75" customHeight="1" thickBot="1" x14ac:dyDescent="0.25">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18"/>
      <c r="AG54" s="5" t="s">
        <v>1850</v>
      </c>
      <c r="AQ54" s="32" t="s">
        <v>289</v>
      </c>
      <c r="AR54" s="129" t="e">
        <f>A22</f>
        <v>#N/A</v>
      </c>
      <c r="AY54"/>
      <c r="AZ54"/>
      <c r="BA54"/>
      <c r="BB54"/>
      <c r="BC54"/>
      <c r="BD54"/>
      <c r="BE54"/>
      <c r="BF54"/>
      <c r="BG54"/>
      <c r="BH54"/>
      <c r="BI54"/>
      <c r="BJ54"/>
      <c r="BK54"/>
    </row>
    <row r="55" spans="1:63" ht="12.75" customHeight="1" thickBot="1" x14ac:dyDescent="0.25">
      <c r="A55" s="569"/>
      <c r="B55" s="569"/>
      <c r="C55" s="569"/>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18"/>
      <c r="AQ55" s="32" t="s">
        <v>290</v>
      </c>
      <c r="AR55" s="23" t="e">
        <f>D22</f>
        <v>#N/A</v>
      </c>
      <c r="AY55"/>
      <c r="AZ55"/>
      <c r="BA55"/>
      <c r="BB55"/>
      <c r="BC55"/>
      <c r="BD55"/>
      <c r="BE55"/>
      <c r="BF55"/>
      <c r="BG55"/>
      <c r="BH55"/>
      <c r="BI55"/>
      <c r="BJ55"/>
      <c r="BK55"/>
    </row>
    <row r="56" spans="1:63" ht="12.75" customHeight="1" thickBot="1" x14ac:dyDescent="0.25">
      <c r="A56" s="569"/>
      <c r="B56" s="569"/>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18"/>
      <c r="AQ56" s="32" t="s">
        <v>291</v>
      </c>
      <c r="AR56" s="29">
        <f>M22</f>
        <v>0</v>
      </c>
      <c r="AY56"/>
      <c r="AZ56"/>
      <c r="BA56"/>
      <c r="BB56"/>
      <c r="BC56"/>
      <c r="BD56"/>
      <c r="BE56"/>
      <c r="BF56"/>
      <c r="BG56"/>
      <c r="BH56"/>
      <c r="BI56"/>
      <c r="BJ56"/>
      <c r="BK56"/>
    </row>
    <row r="57" spans="1:63" ht="12.75" customHeight="1" thickBot="1" x14ac:dyDescent="0.25">
      <c r="A57" s="548"/>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9"/>
      <c r="AA57" s="554" t="s">
        <v>1852</v>
      </c>
      <c r="AB57" s="555"/>
      <c r="AC57" s="555"/>
      <c r="AD57" s="556"/>
      <c r="AQ57" s="32" t="s">
        <v>292</v>
      </c>
      <c r="AR57" s="23" t="e">
        <f>U22</f>
        <v>#N/A</v>
      </c>
      <c r="AY57"/>
      <c r="AZ57"/>
      <c r="BA57"/>
      <c r="BB57"/>
      <c r="BC57"/>
      <c r="BD57"/>
      <c r="BE57"/>
      <c r="BF57"/>
      <c r="BG57"/>
      <c r="BH57"/>
      <c r="BI57"/>
      <c r="BJ57"/>
      <c r="BK57"/>
    </row>
    <row r="58" spans="1:63" s="120" customFormat="1" ht="12.75" customHeight="1" thickBot="1" x14ac:dyDescent="0.25">
      <c r="AG58"/>
      <c r="AI58"/>
      <c r="AJ58"/>
      <c r="AK58"/>
      <c r="AL58"/>
      <c r="AM58"/>
      <c r="AN58"/>
      <c r="AO58"/>
      <c r="AP58"/>
      <c r="AQ58" s="138" t="s">
        <v>293</v>
      </c>
      <c r="AR58" s="139" t="e">
        <f>X22</f>
        <v>#N/A</v>
      </c>
    </row>
    <row r="59" spans="1:63" s="120" customFormat="1" ht="18.75" customHeight="1" thickBot="1" x14ac:dyDescent="0.25">
      <c r="AG59"/>
      <c r="AQ59" s="140" t="s">
        <v>294</v>
      </c>
      <c r="AR59" s="141" t="e">
        <f>A24</f>
        <v>#N/A</v>
      </c>
    </row>
    <row r="60" spans="1:63" s="120" customFormat="1" ht="24.75" thickBot="1" x14ac:dyDescent="0.25">
      <c r="AG60"/>
      <c r="AQ60" s="140" t="s">
        <v>295</v>
      </c>
      <c r="AR60" s="142" t="e">
        <f>D24</f>
        <v>#N/A</v>
      </c>
    </row>
    <row r="61" spans="1:63" s="120" customFormat="1" ht="24.75" thickBot="1" x14ac:dyDescent="0.25">
      <c r="AQ61" s="140" t="s">
        <v>296</v>
      </c>
      <c r="AR61" s="139">
        <f>M24</f>
        <v>0</v>
      </c>
    </row>
    <row r="62" spans="1:63" s="120" customFormat="1" ht="13.5" thickBot="1" x14ac:dyDescent="0.25">
      <c r="AQ62" s="140" t="s">
        <v>297</v>
      </c>
      <c r="AR62" s="142" t="e">
        <f>U24</f>
        <v>#N/A</v>
      </c>
    </row>
    <row r="63" spans="1:63" s="120" customFormat="1" ht="24.75" thickBot="1" x14ac:dyDescent="0.25">
      <c r="AQ63" s="138" t="s">
        <v>298</v>
      </c>
      <c r="AR63" s="143" t="e">
        <f>X24</f>
        <v>#N/A</v>
      </c>
    </row>
    <row r="64" spans="1:63" s="120" customFormat="1" ht="13.5" thickBot="1" x14ac:dyDescent="0.25">
      <c r="AQ64" s="140" t="s">
        <v>299</v>
      </c>
      <c r="AR64" s="141">
        <f>A25</f>
        <v>0</v>
      </c>
    </row>
    <row r="65" spans="43:45" s="120" customFormat="1" ht="24.75" thickBot="1" x14ac:dyDescent="0.25">
      <c r="AQ65" s="140" t="s">
        <v>300</v>
      </c>
      <c r="AR65" s="139">
        <f>D25</f>
        <v>0</v>
      </c>
    </row>
    <row r="66" spans="43:45" s="120" customFormat="1" ht="24.75" thickBot="1" x14ac:dyDescent="0.25">
      <c r="AQ66" s="140" t="s">
        <v>301</v>
      </c>
      <c r="AR66" s="144">
        <f>M25</f>
        <v>0</v>
      </c>
      <c r="AS66" s="145"/>
    </row>
    <row r="67" spans="43:45" s="120" customFormat="1" ht="13.5" thickBot="1" x14ac:dyDescent="0.25">
      <c r="AQ67" s="140" t="s">
        <v>302</v>
      </c>
      <c r="AR67" s="142">
        <f>U25</f>
        <v>0</v>
      </c>
      <c r="AS67" s="145"/>
    </row>
    <row r="68" spans="43:45" s="120" customFormat="1" ht="24.75" thickBot="1" x14ac:dyDescent="0.25">
      <c r="AQ68" s="138" t="s">
        <v>303</v>
      </c>
      <c r="AR68" s="144">
        <f>X25</f>
        <v>0</v>
      </c>
      <c r="AS68" s="146"/>
    </row>
    <row r="69" spans="43:45" s="120" customFormat="1" ht="13.5" thickBot="1" x14ac:dyDescent="0.25">
      <c r="AQ69" s="147" t="s">
        <v>304</v>
      </c>
      <c r="AR69" s="148">
        <f>E30</f>
        <v>0</v>
      </c>
      <c r="AS69" s="146"/>
    </row>
    <row r="70" spans="43:45" s="120" customFormat="1" ht="13.5" thickBot="1" x14ac:dyDescent="0.25">
      <c r="AQ70" s="147" t="s">
        <v>305</v>
      </c>
      <c r="AR70" s="149">
        <f>H30</f>
        <v>0</v>
      </c>
      <c r="AS70" s="145"/>
    </row>
    <row r="71" spans="43:45" s="120" customFormat="1" ht="13.5" thickBot="1" x14ac:dyDescent="0.25">
      <c r="AQ71" s="150" t="s">
        <v>306</v>
      </c>
      <c r="AR71" s="149">
        <f>N30</f>
        <v>0</v>
      </c>
      <c r="AS71" s="145"/>
    </row>
    <row r="72" spans="43:45" s="120" customFormat="1" ht="15.75" customHeight="1" thickBot="1" x14ac:dyDescent="0.25">
      <c r="AQ72" s="150" t="s">
        <v>307</v>
      </c>
      <c r="AR72" s="148">
        <f>E31</f>
        <v>0</v>
      </c>
      <c r="AS72" s="145"/>
    </row>
    <row r="73" spans="43:45" s="120" customFormat="1" ht="20.25" customHeight="1" thickBot="1" x14ac:dyDescent="0.25">
      <c r="AQ73" s="150" t="s">
        <v>308</v>
      </c>
      <c r="AR73" s="149">
        <f>H31</f>
        <v>0</v>
      </c>
    </row>
    <row r="74" spans="43:45" s="120" customFormat="1" ht="12.75" customHeight="1" thickBot="1" x14ac:dyDescent="0.25">
      <c r="AQ74" s="150" t="s">
        <v>309</v>
      </c>
      <c r="AR74" s="151">
        <f>N31</f>
        <v>0</v>
      </c>
    </row>
    <row r="75" spans="43:45" s="120" customFormat="1" ht="16.5" customHeight="1" thickBot="1" x14ac:dyDescent="0.25">
      <c r="AQ75" s="150" t="s">
        <v>310</v>
      </c>
      <c r="AR75" s="149">
        <f>E32</f>
        <v>0</v>
      </c>
    </row>
    <row r="76" spans="43:45" s="120" customFormat="1" ht="26.25" customHeight="1" thickBot="1" x14ac:dyDescent="0.25">
      <c r="AQ76" s="150" t="s">
        <v>311</v>
      </c>
      <c r="AR76" s="151">
        <f>H32</f>
        <v>0</v>
      </c>
    </row>
    <row r="77" spans="43:45" s="120" customFormat="1" ht="18" customHeight="1" thickBot="1" x14ac:dyDescent="0.25">
      <c r="AQ77" s="150" t="s">
        <v>312</v>
      </c>
      <c r="AR77" s="149">
        <f>N32</f>
        <v>0</v>
      </c>
    </row>
    <row r="78" spans="43:45" s="120" customFormat="1" ht="15.75" customHeight="1" thickBot="1" x14ac:dyDescent="0.25">
      <c r="AQ78" s="150" t="s">
        <v>313</v>
      </c>
      <c r="AR78" s="152">
        <f>E33</f>
        <v>0</v>
      </c>
    </row>
    <row r="79" spans="43:45" s="120" customFormat="1" ht="25.5" customHeight="1" thickBot="1" x14ac:dyDescent="0.25">
      <c r="AQ79" s="150" t="s">
        <v>314</v>
      </c>
      <c r="AR79" s="149">
        <f>H33</f>
        <v>0</v>
      </c>
    </row>
    <row r="80" spans="43:45" s="120" customFormat="1" ht="30.75" customHeight="1" thickBot="1" x14ac:dyDescent="0.25">
      <c r="AQ80" s="150" t="s">
        <v>315</v>
      </c>
      <c r="AR80" s="149">
        <f>N33</f>
        <v>0</v>
      </c>
    </row>
    <row r="81" spans="43:45" s="120" customFormat="1" ht="31.5" customHeight="1" thickBot="1" x14ac:dyDescent="0.25">
      <c r="AQ81" s="150" t="s">
        <v>316</v>
      </c>
      <c r="AR81" s="149">
        <f>E34</f>
        <v>0</v>
      </c>
    </row>
    <row r="82" spans="43:45" s="120" customFormat="1" ht="26.25" customHeight="1" thickBot="1" x14ac:dyDescent="0.25">
      <c r="AQ82" s="150" t="s">
        <v>317</v>
      </c>
      <c r="AR82" s="149">
        <f>H34</f>
        <v>0</v>
      </c>
    </row>
    <row r="83" spans="43:45" s="120" customFormat="1" ht="30.75" customHeight="1" thickBot="1" x14ac:dyDescent="0.25">
      <c r="AQ83" s="150" t="s">
        <v>318</v>
      </c>
      <c r="AR83" s="153">
        <f>N34</f>
        <v>0</v>
      </c>
    </row>
    <row r="84" spans="43:45" s="120" customFormat="1" ht="32.25" customHeight="1" thickBot="1" x14ac:dyDescent="0.25">
      <c r="AQ84" s="150" t="s">
        <v>319</v>
      </c>
      <c r="AR84" s="148">
        <f>E35</f>
        <v>0</v>
      </c>
    </row>
    <row r="85" spans="43:45" s="120" customFormat="1" ht="36" customHeight="1" thickBot="1" x14ac:dyDescent="0.25">
      <c r="AQ85" s="154" t="s">
        <v>320</v>
      </c>
      <c r="AR85" s="153">
        <f>H35</f>
        <v>0</v>
      </c>
    </row>
    <row r="86" spans="43:45" s="120" customFormat="1" ht="24.75" thickBot="1" x14ac:dyDescent="0.25">
      <c r="AQ86" s="140" t="s">
        <v>321</v>
      </c>
      <c r="AR86" s="149">
        <f>K35</f>
        <v>0</v>
      </c>
    </row>
    <row r="87" spans="43:45" s="120" customFormat="1" ht="24.75" customHeight="1" thickBot="1" x14ac:dyDescent="0.25">
      <c r="AQ87" s="155" t="s">
        <v>322</v>
      </c>
      <c r="AR87" s="149">
        <f>N35</f>
        <v>0</v>
      </c>
    </row>
    <row r="88" spans="43:45" s="120" customFormat="1" ht="15" customHeight="1" thickBot="1" x14ac:dyDescent="0.25">
      <c r="AQ88" s="155" t="s">
        <v>323</v>
      </c>
      <c r="AR88" s="148">
        <f>E36</f>
        <v>0</v>
      </c>
    </row>
    <row r="89" spans="43:45" s="120" customFormat="1" ht="27" customHeight="1" thickBot="1" x14ac:dyDescent="0.25">
      <c r="AQ89" s="140" t="s">
        <v>324</v>
      </c>
      <c r="AR89" s="153">
        <f>H36</f>
        <v>0</v>
      </c>
    </row>
    <row r="90" spans="43:45" s="120" customFormat="1" ht="33" customHeight="1" thickBot="1" x14ac:dyDescent="0.25">
      <c r="AQ90" s="155" t="s">
        <v>325</v>
      </c>
      <c r="AR90" s="149">
        <f>K36</f>
        <v>0</v>
      </c>
    </row>
    <row r="91" spans="43:45" s="120" customFormat="1" ht="33.75" customHeight="1" thickBot="1" x14ac:dyDescent="0.25">
      <c r="AQ91" s="155" t="s">
        <v>326</v>
      </c>
      <c r="AR91" s="149">
        <f>N36</f>
        <v>0</v>
      </c>
      <c r="AS91" s="156"/>
    </row>
    <row r="92" spans="43:45" s="120" customFormat="1" ht="26.25" thickBot="1" x14ac:dyDescent="0.25">
      <c r="AQ92" s="155" t="s">
        <v>327</v>
      </c>
      <c r="AR92" s="148">
        <f>E38</f>
        <v>0</v>
      </c>
    </row>
    <row r="93" spans="43:45" s="120" customFormat="1" ht="24.75" thickBot="1" x14ac:dyDescent="0.25">
      <c r="AQ93" s="140" t="s">
        <v>324</v>
      </c>
      <c r="AR93" s="153">
        <f>H38</f>
        <v>0</v>
      </c>
    </row>
    <row r="94" spans="43:45" s="120" customFormat="1" ht="24.75" thickBot="1" x14ac:dyDescent="0.25">
      <c r="AQ94" s="140" t="s">
        <v>325</v>
      </c>
      <c r="AR94" s="149">
        <f>K38</f>
        <v>0</v>
      </c>
    </row>
    <row r="95" spans="43:45" s="120" customFormat="1" ht="24.75" thickBot="1" x14ac:dyDescent="0.25">
      <c r="AQ95" s="140" t="s">
        <v>328</v>
      </c>
      <c r="AR95" s="149">
        <f>N38</f>
        <v>0</v>
      </c>
    </row>
    <row r="96" spans="43:45" s="120" customFormat="1" ht="24.75" thickBot="1" x14ac:dyDescent="0.25">
      <c r="AQ96" s="140" t="s">
        <v>329</v>
      </c>
      <c r="AR96" s="157">
        <f>E39</f>
        <v>0</v>
      </c>
    </row>
    <row r="97" spans="43:44" s="120" customFormat="1" ht="24.75" thickBot="1" x14ac:dyDescent="0.25">
      <c r="AQ97" s="140" t="s">
        <v>330</v>
      </c>
      <c r="AR97" s="153">
        <f>N39</f>
        <v>0</v>
      </c>
    </row>
    <row r="98" spans="43:44" s="120" customFormat="1" ht="13.5" thickBot="1" x14ac:dyDescent="0.25">
      <c r="AQ98" s="155" t="s">
        <v>331</v>
      </c>
      <c r="AR98" s="157">
        <f>E41</f>
        <v>0</v>
      </c>
    </row>
    <row r="99" spans="43:44" s="120" customFormat="1" ht="13.5" thickBot="1" x14ac:dyDescent="0.25">
      <c r="AQ99" s="155" t="s">
        <v>332</v>
      </c>
      <c r="AR99" s="149">
        <f>N41</f>
        <v>0</v>
      </c>
    </row>
    <row r="100" spans="43:44" s="120" customFormat="1" ht="13.5" thickBot="1" x14ac:dyDescent="0.25">
      <c r="AQ100" s="155" t="s">
        <v>333</v>
      </c>
      <c r="AR100" s="149">
        <f>N42</f>
        <v>0</v>
      </c>
    </row>
    <row r="101" spans="43:44" s="120" customFormat="1" ht="13.5" thickBot="1" x14ac:dyDescent="0.25">
      <c r="AQ101" s="155" t="str">
        <f>A43</f>
        <v>∑</v>
      </c>
      <c r="AR101" s="148">
        <f>E43</f>
        <v>0</v>
      </c>
    </row>
    <row r="102" spans="43:44" s="120" customFormat="1" ht="13.5" thickBot="1" x14ac:dyDescent="0.25">
      <c r="AQ102" s="155" t="s">
        <v>334</v>
      </c>
      <c r="AR102" s="149">
        <f>N43</f>
        <v>0</v>
      </c>
    </row>
    <row r="103" spans="43:44" s="120" customFormat="1" ht="13.5" thickBot="1" x14ac:dyDescent="0.25">
      <c r="AQ103" s="147" t="s">
        <v>335</v>
      </c>
      <c r="AR103" s="157" t="str">
        <f>AA28</f>
        <v/>
      </c>
    </row>
    <row r="104" spans="43:44" s="120" customFormat="1" ht="13.5" thickBot="1" x14ac:dyDescent="0.25">
      <c r="AQ104" s="147" t="s">
        <v>336</v>
      </c>
      <c r="AR104" s="157" t="str">
        <f>AA29</f>
        <v/>
      </c>
    </row>
    <row r="105" spans="43:44" s="120" customFormat="1" ht="13.5" thickBot="1" x14ac:dyDescent="0.25">
      <c r="AQ105" s="147" t="s">
        <v>337</v>
      </c>
      <c r="AR105" s="148">
        <f>AA30</f>
        <v>0</v>
      </c>
    </row>
    <row r="106" spans="43:44" s="120" customFormat="1" ht="13.5" thickBot="1" x14ac:dyDescent="0.25">
      <c r="AQ106" s="147" t="s">
        <v>338</v>
      </c>
      <c r="AR106" s="149" t="str">
        <f>AA31&amp;AC31</f>
        <v/>
      </c>
    </row>
    <row r="107" spans="43:44" s="120" customFormat="1" ht="13.5" thickBot="1" x14ac:dyDescent="0.25">
      <c r="AQ107" s="147" t="s">
        <v>339</v>
      </c>
      <c r="AR107" s="149" t="str">
        <f>AA32&amp;AC32</f>
        <v/>
      </c>
    </row>
    <row r="108" spans="43:44" s="120" customFormat="1" ht="13.5" thickBot="1" x14ac:dyDescent="0.25">
      <c r="AQ108" s="147" t="s">
        <v>340</v>
      </c>
      <c r="AR108" s="149" t="str">
        <f>AA33</f>
        <v/>
      </c>
    </row>
    <row r="109" spans="43:44" s="120" customFormat="1" ht="13.5" thickBot="1" x14ac:dyDescent="0.25">
      <c r="AQ109" s="147" t="s">
        <v>244</v>
      </c>
      <c r="AR109" s="148" t="str">
        <f t="shared" ref="AR109:AR111" si="0">AA34</f>
        <v/>
      </c>
    </row>
    <row r="110" spans="43:44" s="120" customFormat="1" ht="13.5" thickBot="1" x14ac:dyDescent="0.25">
      <c r="AQ110" s="147" t="s">
        <v>341</v>
      </c>
      <c r="AR110" s="148" t="str">
        <f t="shared" si="0"/>
        <v/>
      </c>
    </row>
    <row r="111" spans="43:44" s="120" customFormat="1" ht="13.5" thickBot="1" x14ac:dyDescent="0.25">
      <c r="AQ111" s="147" t="s">
        <v>342</v>
      </c>
      <c r="AR111" s="157" t="str">
        <f t="shared" si="0"/>
        <v/>
      </c>
    </row>
    <row r="112" spans="43:44" s="120" customFormat="1" ht="13.5" thickBot="1" x14ac:dyDescent="0.25">
      <c r="AQ112" s="147" t="s">
        <v>254</v>
      </c>
      <c r="AR112" s="153" t="e">
        <f t="shared" ref="AR112:AR117" si="1">AA38</f>
        <v>#DIV/0!</v>
      </c>
    </row>
    <row r="113" spans="33:44" s="120" customFormat="1" ht="13.5" thickBot="1" x14ac:dyDescent="0.25">
      <c r="AQ113" s="147" t="s">
        <v>257</v>
      </c>
      <c r="AR113" s="157">
        <f t="shared" si="1"/>
        <v>0</v>
      </c>
    </row>
    <row r="114" spans="33:44" s="120" customFormat="1" ht="13.5" thickBot="1" x14ac:dyDescent="0.25">
      <c r="AQ114" s="147" t="s">
        <v>260</v>
      </c>
      <c r="AR114" s="148" t="str">
        <f t="shared" si="1"/>
        <v/>
      </c>
    </row>
    <row r="115" spans="33:44" ht="13.5" thickBot="1" x14ac:dyDescent="0.25">
      <c r="AG115" s="120"/>
      <c r="AI115" s="120"/>
      <c r="AJ115" s="120"/>
      <c r="AK115" s="120"/>
      <c r="AL115" s="120"/>
      <c r="AM115" s="120"/>
      <c r="AN115" s="120"/>
      <c r="AO115" s="120"/>
      <c r="AP115" s="120"/>
      <c r="AQ115" s="212" t="s">
        <v>263</v>
      </c>
      <c r="AR115" s="30" t="str">
        <f t="shared" si="1"/>
        <v/>
      </c>
    </row>
    <row r="116" spans="33:44" ht="13.5" thickBot="1" x14ac:dyDescent="0.25">
      <c r="AG116" s="120"/>
      <c r="AQ116" s="212" t="str">
        <f>IF(OR(AS73=501,AS73="730*"),"*** % Passing 1 inch sieve","% Passing 1 inch sieve")</f>
        <v>% Passing 1 inch sieve</v>
      </c>
      <c r="AR116" s="30" t="str">
        <f t="shared" si="1"/>
        <v/>
      </c>
    </row>
    <row r="117" spans="33:44" ht="13.5" thickBot="1" x14ac:dyDescent="0.25">
      <c r="AG117" s="120"/>
      <c r="AQ117" s="212" t="str">
        <f>IF(OR(AS73=501,AS73="730*"), "** % Passing No. 200 sieve","% Passing No. 200 sieve")</f>
        <v>% Passing No. 200 sieve</v>
      </c>
      <c r="AR117" s="31" t="str">
        <f t="shared" si="1"/>
        <v/>
      </c>
    </row>
  </sheetData>
  <sheetProtection algorithmName="SHA-512" hashValue="PTt9ZfQOMHG1qCsFYXU/P+FaRQ2JtjNI6y1A14o0G232TaeUGMXiVHl9RVs1HUYuJ/COWCd/W7YcTqHFDqzFHA==" saltValue="g34ugKNpoh7aJpw92vp5WA==" spinCount="100000" sheet="1" formatCells="0" selectLockedCells="1"/>
  <dataConsolidate/>
  <mergeCells count="256">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s>
  <conditionalFormatting sqref="E42:G42">
    <cfRule type="cellIs" dxfId="30" priority="21" stopIfTrue="1" operator="between">
      <formula>0.45</formula>
      <formula>0.439</formula>
    </cfRule>
  </conditionalFormatting>
  <conditionalFormatting sqref="N44:P45">
    <cfRule type="containsText" dxfId="29" priority="19" stopIfTrue="1" operator="containsText" text="ERROR!">
      <formula>NOT(ISERROR(SEARCH("ERROR!",N44)))</formula>
    </cfRule>
    <cfRule type="containsText" dxfId="28" priority="20" stopIfTrue="1" operator="containsText" text="Correct">
      <formula>NOT(ISERROR(SEARCH("Correct",N44)))</formula>
    </cfRule>
  </conditionalFormatting>
  <conditionalFormatting sqref="A15:A17 AD20:AF24 AG25:AG35 AH20:AH24 AI21:AM25">
    <cfRule type="containsErrors" dxfId="27" priority="15" stopIfTrue="1">
      <formula>ISERROR(A15)</formula>
    </cfRule>
  </conditionalFormatting>
  <conditionalFormatting sqref="A9:C11">
    <cfRule type="containsErrors" dxfId="26" priority="14">
      <formula>ISERROR(A9)</formula>
    </cfRule>
  </conditionalFormatting>
  <conditionalFormatting sqref="A24:L24 U24:AC24">
    <cfRule type="containsErrors" dxfId="25" priority="13">
      <formula>ISERROR(A24)</formula>
    </cfRule>
  </conditionalFormatting>
  <conditionalFormatting sqref="U20:AC23 A20:L24">
    <cfRule type="containsErrors" dxfId="24" priority="12">
      <formula>ISERROR(A20)</formula>
    </cfRule>
  </conditionalFormatting>
  <conditionalFormatting sqref="J26:K26">
    <cfRule type="expression" dxfId="23" priority="11">
      <formula>$A$26="concentration of CaCl₂ is"</formula>
    </cfRule>
  </conditionalFormatting>
  <conditionalFormatting sqref="Q26:R26">
    <cfRule type="expression" dxfId="22" priority="10">
      <formula>$A$26="concentration of CaCl₂ is"</formula>
    </cfRule>
  </conditionalFormatting>
  <conditionalFormatting sqref="N30:P36 N38:P42 N37">
    <cfRule type="cellIs" dxfId="21" priority="9" operator="equal">
      <formula>0</formula>
    </cfRule>
  </conditionalFormatting>
  <conditionalFormatting sqref="AA31:AC36 AA37:AB37 AA38:AC44 AC45">
    <cfRule type="cellIs" dxfId="20" priority="8" stopIfTrue="1" operator="equal">
      <formula>0</formula>
    </cfRule>
  </conditionalFormatting>
  <conditionalFormatting sqref="G6:N6">
    <cfRule type="containsText" dxfId="19" priority="7" operator="containsText" text="Mix ID Required">
      <formula>NOT(ISERROR(SEARCH("Mix ID Required",G6)))</formula>
    </cfRule>
  </conditionalFormatting>
  <conditionalFormatting sqref="AA36:AC36">
    <cfRule type="cellIs" dxfId="18" priority="2" operator="equal">
      <formula>"Yes"</formula>
    </cfRule>
    <cfRule type="cellIs" dxfId="17" priority="5" operator="equal">
      <formula>"No"</formula>
    </cfRule>
    <cfRule type="cellIs" dxfId="16" priority="6" operator="equal">
      <formula>"No"</formula>
    </cfRule>
  </conditionalFormatting>
  <conditionalFormatting sqref="AA37:AB37">
    <cfRule type="cellIs" dxfId="15" priority="3" operator="equal">
      <formula>"Yes"</formula>
    </cfRule>
    <cfRule type="cellIs" dxfId="14" priority="4" operator="equal">
      <formula>"No"</formula>
    </cfRule>
  </conditionalFormatting>
  <conditionalFormatting sqref="D9:D11">
    <cfRule type="containsErrors" dxfId="13" priority="1">
      <formula>ISERROR(D9)</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D1CC64AB-6330-44AD-9F15-B7BAB4AE84CE}">
          <x14:formula1>
            <xm:f>'CEMENT &amp; POZZOLAN SOURCES'!$A$1:$A$85</xm:f>
          </x14:formula1>
          <xm:sqref>D15:T17</xm:sqref>
        </x14:dataValidation>
        <x14:dataValidation type="list" allowBlank="1" showInputMessage="1" showErrorMessage="1" xr:uid="{65C5998B-F268-465F-88CA-8CAB461E4FEA}">
          <x14:formula1>
            <xm:f>Sheet2!$L$55:$L$56</xm:f>
          </x14:formula1>
          <xm:sqref>U25:W25</xm:sqref>
        </x14:dataValidation>
        <x14:dataValidation type="list" allowBlank="1" showInputMessage="1" showErrorMessage="1" xr:uid="{30BF72B8-0D62-414A-9B37-D123E984D297}">
          <x14:formula1>
            <xm:f>ADMIXTURES!$A$1:$A$289</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topLeftCell="A2" zoomScaleNormal="100" workbookViewId="0">
      <selection activeCell="C11" sqref="C11"/>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6" customWidth="1"/>
    <col min="21" max="21" width="9.7109375" style="216" bestFit="1" customWidth="1"/>
    <col min="22" max="22" width="16.5703125" style="216" bestFit="1" customWidth="1"/>
    <col min="23" max="23" width="9.5703125" style="216" bestFit="1" customWidth="1"/>
    <col min="24" max="24" width="16.5703125" style="216" bestFit="1" customWidth="1"/>
    <col min="25" max="26" width="10.28515625" style="216" customWidth="1"/>
    <col min="27" max="28" width="9.140625" style="217" customWidth="1"/>
    <col min="29" max="29" width="9.140625" customWidth="1"/>
    <col min="30" max="30" width="23.28515625" bestFit="1" customWidth="1"/>
    <col min="34" max="58" width="9.140625" style="217"/>
  </cols>
  <sheetData>
    <row r="1" spans="2:32" ht="16.5" customHeight="1" x14ac:dyDescent="0.2">
      <c r="B1" s="71"/>
      <c r="C1" s="89"/>
      <c r="D1" s="89"/>
      <c r="E1" s="89"/>
      <c r="F1" s="89"/>
      <c r="G1" s="89"/>
      <c r="H1" s="89"/>
      <c r="I1" s="89"/>
      <c r="J1" s="89"/>
      <c r="K1" s="90"/>
      <c r="L1" s="90"/>
      <c r="M1" s="90"/>
      <c r="AD1" s="5" t="s">
        <v>1806</v>
      </c>
    </row>
    <row r="2" spans="2:32" ht="21.75" customHeight="1" x14ac:dyDescent="0.2">
      <c r="B2" s="98" t="s">
        <v>81</v>
      </c>
      <c r="C2" s="786" t="s">
        <v>82</v>
      </c>
      <c r="D2" s="788"/>
      <c r="E2" s="787"/>
      <c r="F2" s="786" t="s">
        <v>249</v>
      </c>
      <c r="G2" s="787"/>
      <c r="H2" s="786" t="s">
        <v>253</v>
      </c>
      <c r="I2" s="788"/>
      <c r="J2" s="789" t="s">
        <v>343</v>
      </c>
      <c r="K2" s="790"/>
      <c r="L2" s="795" t="s">
        <v>344</v>
      </c>
      <c r="M2" s="796"/>
      <c r="AD2" s="5" t="s">
        <v>1827</v>
      </c>
      <c r="AE2" s="6">
        <f>(CMDS!N30+CMDS!N31+CMDS!N32+CMDS!N33+CMDS!N41)/27</f>
        <v>0</v>
      </c>
    </row>
    <row r="3" spans="2:32" ht="15" customHeight="1" x14ac:dyDescent="0.2">
      <c r="B3" s="76" t="s">
        <v>345</v>
      </c>
      <c r="C3" s="801" t="e">
        <f>CMDS!E35/SUM(CMDS!E35:G38)</f>
        <v>#DIV/0!</v>
      </c>
      <c r="D3" s="803"/>
      <c r="E3" s="802"/>
      <c r="F3" s="801" t="e">
        <f>CMDS!E36/SUM(CMDS!E35:G38)</f>
        <v>#DIV/0!</v>
      </c>
      <c r="G3" s="802"/>
      <c r="H3" s="803" t="e">
        <f>CMDS!E38/SUM(CMDS!E35:G38)</f>
        <v>#DIV/0!</v>
      </c>
      <c r="I3" s="803"/>
      <c r="J3" s="791"/>
      <c r="K3" s="792"/>
      <c r="L3" s="797"/>
      <c r="M3" s="798"/>
      <c r="AD3" s="5" t="s">
        <v>1826</v>
      </c>
      <c r="AE3" s="226">
        <f>(CMDS!N30+CMDS!N31+CMDS!N32+CMDS!N33+CMDS!N41+CMDS!N42)/27</f>
        <v>7.0000000000000007E-2</v>
      </c>
    </row>
    <row r="4" spans="2:32" ht="15" customHeight="1" x14ac:dyDescent="0.2">
      <c r="B4" s="77" t="s">
        <v>346</v>
      </c>
      <c r="C4" s="801" t="e">
        <f>CMDS!N35/SUM(CMDS!N35:P38)</f>
        <v>#DIV/0!</v>
      </c>
      <c r="D4" s="803"/>
      <c r="E4" s="802"/>
      <c r="F4" s="801" t="e">
        <f>CMDS!N36/SUM(CMDS!N35:P38)</f>
        <v>#DIV/0!</v>
      </c>
      <c r="G4" s="802"/>
      <c r="H4" s="803" t="e">
        <f>CMDS!N38/SUM(CMDS!N35:P38)</f>
        <v>#DIV/0!</v>
      </c>
      <c r="I4" s="803"/>
      <c r="J4" s="793"/>
      <c r="K4" s="794"/>
      <c r="L4" s="799"/>
      <c r="M4" s="800"/>
      <c r="N4" s="274" t="s">
        <v>347</v>
      </c>
      <c r="O4" s="270"/>
      <c r="T4" s="218"/>
      <c r="U4" s="218"/>
      <c r="V4" s="218"/>
      <c r="W4" s="218"/>
      <c r="X4" s="218"/>
      <c r="Y4" s="785" t="s">
        <v>1825</v>
      </c>
      <c r="Z4" s="785"/>
    </row>
    <row r="5" spans="2:32" ht="31.5" customHeight="1" x14ac:dyDescent="0.25">
      <c r="B5" s="82" t="s">
        <v>348</v>
      </c>
      <c r="C5" s="78" t="s">
        <v>349</v>
      </c>
      <c r="D5" s="79" t="s">
        <v>350</v>
      </c>
      <c r="E5" s="79" t="s">
        <v>351</v>
      </c>
      <c r="F5" s="78" t="s">
        <v>349</v>
      </c>
      <c r="G5" s="80" t="s">
        <v>350</v>
      </c>
      <c r="H5" s="78" t="s">
        <v>349</v>
      </c>
      <c r="I5" s="79" t="s">
        <v>350</v>
      </c>
      <c r="J5" s="99" t="s">
        <v>349</v>
      </c>
      <c r="K5" s="100" t="s">
        <v>350</v>
      </c>
      <c r="L5" s="81" t="s">
        <v>349</v>
      </c>
      <c r="M5" s="80" t="s">
        <v>350</v>
      </c>
      <c r="N5" s="214" t="s">
        <v>352</v>
      </c>
      <c r="O5" s="75" t="s">
        <v>353</v>
      </c>
      <c r="T5" s="219" t="s">
        <v>1820</v>
      </c>
      <c r="U5" s="220" t="s">
        <v>1821</v>
      </c>
      <c r="V5" s="220" t="s">
        <v>1823</v>
      </c>
      <c r="W5" s="219" t="s">
        <v>1822</v>
      </c>
      <c r="X5" s="219" t="s">
        <v>1824</v>
      </c>
      <c r="Y5" s="221" t="s">
        <v>353</v>
      </c>
      <c r="Z5" s="221" t="s">
        <v>352</v>
      </c>
      <c r="AD5" s="5" t="s">
        <v>1805</v>
      </c>
    </row>
    <row r="6" spans="2:32" ht="15" customHeight="1" x14ac:dyDescent="0.2">
      <c r="B6" s="83" t="s">
        <v>354</v>
      </c>
      <c r="C6" s="201"/>
      <c r="D6" s="69">
        <f>100-C6</f>
        <v>100</v>
      </c>
      <c r="E6" s="69"/>
      <c r="F6" s="201"/>
      <c r="G6" s="70">
        <f>100-F6</f>
        <v>100</v>
      </c>
      <c r="H6" s="200"/>
      <c r="I6" s="84">
        <f>100-H6</f>
        <v>100</v>
      </c>
      <c r="J6" s="101" t="e">
        <f t="shared" ref="J6:J18" si="0">C$3*C6+F$3*F6+H$3*H6</f>
        <v>#DIV/0!</v>
      </c>
      <c r="K6" s="102" t="e">
        <f t="shared" ref="K6:K18" si="1">C$3*D6+F$3*G6+H$3*I6</f>
        <v>#DIV/0!</v>
      </c>
      <c r="L6" s="72" t="e">
        <f t="shared" ref="L6:L18" si="2">C$4*C6+F$4*F6+H$4*H6</f>
        <v>#DIV/0!</v>
      </c>
      <c r="M6" s="70" t="e">
        <f t="shared" ref="M6:M18" si="3">C$4*D6+F$4*G6+H$4*I6</f>
        <v>#DIV/0!</v>
      </c>
      <c r="T6" s="222" t="str">
        <f>B6</f>
        <v>2"</v>
      </c>
      <c r="U6" s="223">
        <v>50</v>
      </c>
      <c r="V6" s="224">
        <f>U6^0.45</f>
        <v>5.8148230317277987</v>
      </c>
      <c r="W6" s="225" t="e">
        <f>L6</f>
        <v>#DIV/0!</v>
      </c>
      <c r="X6" s="225">
        <f>100*(U6/25)^0.45</f>
        <v>136.60402567543954</v>
      </c>
      <c r="Y6" s="225">
        <f>100*(U6/37.5)^0.45</f>
        <v>113.82100906616924</v>
      </c>
      <c r="Z6" s="225">
        <f>100*(U6/19)^0.45</f>
        <v>154.56009696195599</v>
      </c>
      <c r="AD6" s="5" t="s">
        <v>1829</v>
      </c>
      <c r="AE6" s="226">
        <f>(CMDS!N30+CMDS!N31+CMDS!N32+CMDS!N33+CMDS!N35+CMDS!N41)/27</f>
        <v>0</v>
      </c>
      <c r="AF6" s="5"/>
    </row>
    <row r="7" spans="2:32" ht="15" customHeight="1" x14ac:dyDescent="0.2">
      <c r="B7" s="83" t="s">
        <v>355</v>
      </c>
      <c r="C7" s="202"/>
      <c r="D7" s="69">
        <f t="shared" ref="D7:D18" si="4">C6-C7</f>
        <v>0</v>
      </c>
      <c r="E7" s="69"/>
      <c r="F7" s="202"/>
      <c r="G7" s="70">
        <f>F6-F7</f>
        <v>0</v>
      </c>
      <c r="H7" s="200"/>
      <c r="I7" s="69">
        <f>H6-H7</f>
        <v>0</v>
      </c>
      <c r="J7" s="103" t="e">
        <f t="shared" si="0"/>
        <v>#DIV/0!</v>
      </c>
      <c r="K7" s="102" t="e">
        <f t="shared" si="1"/>
        <v>#DIV/0!</v>
      </c>
      <c r="L7" s="72" t="e">
        <f t="shared" si="2"/>
        <v>#DIV/0!</v>
      </c>
      <c r="M7" s="70" t="e">
        <f t="shared" si="3"/>
        <v>#DIV/0!</v>
      </c>
      <c r="N7" s="68">
        <v>0</v>
      </c>
      <c r="O7" s="68">
        <v>0</v>
      </c>
      <c r="R7" s="216" t="e">
        <f>IF(AND(M7&gt;=0,M7&lt;=0),"0","1")</f>
        <v>#DIV/0!</v>
      </c>
      <c r="T7" s="222" t="str">
        <f t="shared" ref="T7:T18" si="5">B7</f>
        <v>1.5"</v>
      </c>
      <c r="U7" s="223">
        <v>37.5</v>
      </c>
      <c r="V7" s="224">
        <f t="shared" ref="V7:V18" si="6">U7^0.45</f>
        <v>5.1087431744234335</v>
      </c>
      <c r="W7" s="225" t="e">
        <f t="shared" ref="W7:W18" si="7">L7</f>
        <v>#DIV/0!</v>
      </c>
      <c r="X7" s="225">
        <f t="shared" ref="X7:X18" si="8">100*(U7/25)^0.45</f>
        <v>120.0165301609877</v>
      </c>
      <c r="Y7" s="225">
        <f t="shared" ref="Y7:Y18" si="9">100*(U7/37.5)^0.45</f>
        <v>100</v>
      </c>
      <c r="Z7" s="225">
        <f t="shared" ref="Z7:Z18" si="10">100*(U7/19)^0.45</f>
        <v>135.7922392623521</v>
      </c>
      <c r="AD7" s="5" t="s">
        <v>1828</v>
      </c>
      <c r="AE7" s="226">
        <f>(CMDS!N30+CMDS!N31+CMDS!N32+CMDS!N33+CMDS!N35+CMDS!N41+CMDS!N42)/27</f>
        <v>7.0000000000000007E-2</v>
      </c>
    </row>
    <row r="8" spans="2:32" ht="15" customHeight="1" x14ac:dyDescent="0.2">
      <c r="B8" s="83" t="s">
        <v>356</v>
      </c>
      <c r="C8" s="202"/>
      <c r="D8" s="69">
        <f t="shared" si="4"/>
        <v>0</v>
      </c>
      <c r="E8" s="69"/>
      <c r="F8" s="202"/>
      <c r="G8" s="70">
        <f>F7-F8</f>
        <v>0</v>
      </c>
      <c r="H8" s="200"/>
      <c r="I8" s="69">
        <f>H7-H8</f>
        <v>0</v>
      </c>
      <c r="J8" s="103" t="e">
        <f t="shared" si="0"/>
        <v>#DIV/0!</v>
      </c>
      <c r="K8" s="102" t="e">
        <f t="shared" si="1"/>
        <v>#DIV/0!</v>
      </c>
      <c r="L8" s="72" t="e">
        <f t="shared" si="2"/>
        <v>#DIV/0!</v>
      </c>
      <c r="M8" s="70" t="e">
        <f t="shared" si="3"/>
        <v>#DIV/0!</v>
      </c>
      <c r="N8" s="68">
        <v>0</v>
      </c>
      <c r="O8" s="68">
        <v>16</v>
      </c>
      <c r="R8" s="216" t="e">
        <f>IF(AND(M8&gt;=0,M8&lt;=16.4),"0","1")</f>
        <v>#DIV/0!</v>
      </c>
      <c r="T8" s="222" t="str">
        <f t="shared" si="5"/>
        <v>1"</v>
      </c>
      <c r="U8" s="223">
        <v>25</v>
      </c>
      <c r="V8" s="224">
        <f t="shared" si="6"/>
        <v>4.2566996126039234</v>
      </c>
      <c r="W8" s="225" t="e">
        <f t="shared" si="7"/>
        <v>#DIV/0!</v>
      </c>
      <c r="X8" s="225">
        <f t="shared" si="8"/>
        <v>100</v>
      </c>
      <c r="Y8" s="225">
        <f t="shared" si="9"/>
        <v>83.321855635937851</v>
      </c>
      <c r="Z8" s="225">
        <f t="shared" si="10"/>
        <v>113.14461356298435</v>
      </c>
      <c r="AD8" s="5" t="s">
        <v>1807</v>
      </c>
      <c r="AE8" s="226">
        <v>0.55000000000000004</v>
      </c>
    </row>
    <row r="9" spans="2:32" ht="15" customHeight="1" x14ac:dyDescent="0.2">
      <c r="B9" s="83" t="s">
        <v>357</v>
      </c>
      <c r="C9" s="202"/>
      <c r="D9" s="69">
        <f t="shared" si="4"/>
        <v>0</v>
      </c>
      <c r="E9" s="69"/>
      <c r="F9" s="202"/>
      <c r="G9" s="70">
        <f>F8-F9</f>
        <v>0</v>
      </c>
      <c r="H9" s="200"/>
      <c r="I9" s="69">
        <f t="shared" ref="I9:I17" si="11">H8-H9</f>
        <v>0</v>
      </c>
      <c r="J9" s="103" t="e">
        <f t="shared" si="0"/>
        <v>#DIV/0!</v>
      </c>
      <c r="K9" s="102" t="e">
        <f t="shared" si="1"/>
        <v>#DIV/0!</v>
      </c>
      <c r="L9" s="72" t="e">
        <f t="shared" si="2"/>
        <v>#DIV/0!</v>
      </c>
      <c r="M9" s="70" t="e">
        <f t="shared" si="3"/>
        <v>#DIV/0!</v>
      </c>
      <c r="N9" s="68">
        <v>0</v>
      </c>
      <c r="O9" s="68">
        <v>20</v>
      </c>
      <c r="R9" s="216" t="e">
        <f>IF(AND(M9&gt;=0,M9&lt;=20.4),"0","1")</f>
        <v>#DIV/0!</v>
      </c>
      <c r="T9" s="222" t="str">
        <f t="shared" si="5"/>
        <v>3/4"</v>
      </c>
      <c r="U9" s="223">
        <v>19</v>
      </c>
      <c r="V9" s="224">
        <f t="shared" si="6"/>
        <v>3.7621761023862978</v>
      </c>
      <c r="W9" s="225" t="e">
        <f t="shared" si="7"/>
        <v>#DIV/0!</v>
      </c>
      <c r="X9" s="225">
        <f t="shared" si="8"/>
        <v>88.382466341919923</v>
      </c>
      <c r="Y9" s="225">
        <f t="shared" si="9"/>
        <v>73.641911012895903</v>
      </c>
      <c r="Z9" s="225">
        <f t="shared" si="10"/>
        <v>100</v>
      </c>
      <c r="AD9" s="5" t="s">
        <v>1808</v>
      </c>
      <c r="AE9" s="226">
        <v>0.56999999999999995</v>
      </c>
    </row>
    <row r="10" spans="2:32" ht="15" customHeight="1" x14ac:dyDescent="0.2">
      <c r="B10" s="83" t="s">
        <v>358</v>
      </c>
      <c r="C10" s="202"/>
      <c r="D10" s="69">
        <f t="shared" si="4"/>
        <v>0</v>
      </c>
      <c r="E10" s="69"/>
      <c r="F10" s="202"/>
      <c r="G10" s="70">
        <f t="shared" ref="G10:G17" si="12">F9-F10</f>
        <v>0</v>
      </c>
      <c r="H10" s="200"/>
      <c r="I10" s="69">
        <f t="shared" si="11"/>
        <v>0</v>
      </c>
      <c r="J10" s="103" t="e">
        <f>C$3*C10+F$3*F10+H$3*H10</f>
        <v>#DIV/0!</v>
      </c>
      <c r="K10" s="102" t="e">
        <f t="shared" si="1"/>
        <v>#DIV/0!</v>
      </c>
      <c r="L10" s="72" t="e">
        <f t="shared" si="2"/>
        <v>#DIV/0!</v>
      </c>
      <c r="M10" s="70" t="e">
        <f t="shared" si="3"/>
        <v>#DIV/0!</v>
      </c>
      <c r="N10" s="68">
        <v>4</v>
      </c>
      <c r="O10" s="68">
        <v>20</v>
      </c>
      <c r="R10" s="216" t="e">
        <f>IF(AND(M10&gt;=3.5,M10&lt;=20.4),"0","1")</f>
        <v>#DIV/0!</v>
      </c>
      <c r="T10" s="222" t="str">
        <f t="shared" si="5"/>
        <v>1/2"</v>
      </c>
      <c r="U10" s="223">
        <v>12.5</v>
      </c>
      <c r="V10" s="224">
        <f t="shared" si="6"/>
        <v>3.116086507375345</v>
      </c>
      <c r="W10" s="225" t="e">
        <f t="shared" si="7"/>
        <v>#DIV/0!</v>
      </c>
      <c r="X10" s="225">
        <f t="shared" si="8"/>
        <v>73.204284797281275</v>
      </c>
      <c r="Y10" s="225">
        <f t="shared" si="9"/>
        <v>60.995168498111511</v>
      </c>
      <c r="Z10" s="225">
        <f t="shared" si="10"/>
        <v>82.826705145430395</v>
      </c>
    </row>
    <row r="11" spans="2:32" ht="15" customHeight="1" x14ac:dyDescent="0.2">
      <c r="B11" s="83" t="s">
        <v>359</v>
      </c>
      <c r="C11" s="202"/>
      <c r="D11" s="69">
        <f t="shared" si="4"/>
        <v>0</v>
      </c>
      <c r="E11" s="69"/>
      <c r="F11" s="202"/>
      <c r="G11" s="70">
        <f t="shared" si="12"/>
        <v>0</v>
      </c>
      <c r="H11" s="200"/>
      <c r="I11" s="69">
        <f>H10-H11</f>
        <v>0</v>
      </c>
      <c r="J11" s="103" t="e">
        <f t="shared" si="0"/>
        <v>#DIV/0!</v>
      </c>
      <c r="K11" s="102" t="e">
        <f t="shared" si="1"/>
        <v>#DIV/0!</v>
      </c>
      <c r="L11" s="72" t="e">
        <f>C$4*C11+F$4*F11+H$4*H11</f>
        <v>#DIV/0!</v>
      </c>
      <c r="M11" s="70" t="e">
        <f t="shared" si="3"/>
        <v>#DIV/0!</v>
      </c>
      <c r="N11" s="68">
        <v>4</v>
      </c>
      <c r="O11" s="68">
        <v>20</v>
      </c>
      <c r="R11" s="216" t="e">
        <f>IF(AND(M11&gt;=3.5,M11&lt;=20.4),"0","1")</f>
        <v>#DIV/0!</v>
      </c>
      <c r="T11" s="222" t="str">
        <f t="shared" si="5"/>
        <v>3/8"</v>
      </c>
      <c r="U11" s="223">
        <v>9.5</v>
      </c>
      <c r="V11" s="224">
        <f t="shared" si="6"/>
        <v>2.754074108566122</v>
      </c>
      <c r="W11" s="225" t="e">
        <f t="shared" si="7"/>
        <v>#DIV/0!</v>
      </c>
      <c r="X11" s="225">
        <f t="shared" si="8"/>
        <v>64.699752371800329</v>
      </c>
      <c r="Y11" s="225">
        <f t="shared" si="9"/>
        <v>53.909034268040756</v>
      </c>
      <c r="Z11" s="225">
        <f t="shared" si="10"/>
        <v>73.204284797281275</v>
      </c>
      <c r="AD11" s="5" t="s">
        <v>1818</v>
      </c>
      <c r="AE11" s="20" t="e">
        <f>100*((100-L11)/(100-L13))</f>
        <v>#DIV/0!</v>
      </c>
    </row>
    <row r="12" spans="2:32" ht="15" customHeight="1" x14ac:dyDescent="0.2">
      <c r="B12" s="83" t="s">
        <v>360</v>
      </c>
      <c r="C12" s="202"/>
      <c r="D12" s="69">
        <f t="shared" si="4"/>
        <v>0</v>
      </c>
      <c r="E12" s="69">
        <f>D12</f>
        <v>0</v>
      </c>
      <c r="F12" s="202"/>
      <c r="G12" s="70">
        <f>F11-F12</f>
        <v>0</v>
      </c>
      <c r="H12" s="200"/>
      <c r="I12" s="69">
        <f t="shared" si="11"/>
        <v>0</v>
      </c>
      <c r="J12" s="103" t="e">
        <f>C$3*C12+F$3*F12+H$3*H12</f>
        <v>#DIV/0!</v>
      </c>
      <c r="K12" s="102" t="e">
        <f t="shared" si="1"/>
        <v>#DIV/0!</v>
      </c>
      <c r="L12" s="72" t="e">
        <f t="shared" si="2"/>
        <v>#DIV/0!</v>
      </c>
      <c r="M12" s="70" t="e">
        <f t="shared" si="3"/>
        <v>#DIV/0!</v>
      </c>
      <c r="N12" s="68">
        <v>4</v>
      </c>
      <c r="O12" s="68">
        <v>20</v>
      </c>
      <c r="R12" s="216" t="e">
        <f>IF(AND(M12&gt;=3.5,M12&lt;=20.4),"0","1")</f>
        <v>#DIV/0!</v>
      </c>
      <c r="T12" s="222" t="str">
        <f t="shared" si="5"/>
        <v>#4</v>
      </c>
      <c r="U12" s="223">
        <v>4.75</v>
      </c>
      <c r="V12" s="224">
        <f t="shared" si="6"/>
        <v>2.0161002539629291</v>
      </c>
      <c r="W12" s="225" t="e">
        <f t="shared" si="7"/>
        <v>#DIV/0!</v>
      </c>
      <c r="X12" s="225">
        <f t="shared" si="8"/>
        <v>47.36299098938845</v>
      </c>
      <c r="Y12" s="225">
        <f t="shared" si="9"/>
        <v>39.463722977040504</v>
      </c>
      <c r="Z12" s="225">
        <f t="shared" si="10"/>
        <v>53.588673126814655</v>
      </c>
      <c r="AD12" s="5" t="s">
        <v>1819</v>
      </c>
      <c r="AE12" s="20" t="e">
        <f>L13+2.5*(((SUM(CMDS!E30:G33)-564)/97))</f>
        <v>#DIV/0!</v>
      </c>
    </row>
    <row r="13" spans="2:32" ht="15" customHeight="1" x14ac:dyDescent="0.2">
      <c r="B13" s="83" t="s">
        <v>361</v>
      </c>
      <c r="C13" s="202"/>
      <c r="D13" s="69">
        <f t="shared" si="4"/>
        <v>0</v>
      </c>
      <c r="E13" s="69">
        <f>SUM(D12:D13)</f>
        <v>0</v>
      </c>
      <c r="F13" s="202"/>
      <c r="G13" s="70">
        <f t="shared" si="12"/>
        <v>0</v>
      </c>
      <c r="H13" s="200"/>
      <c r="I13" s="69">
        <f t="shared" si="11"/>
        <v>0</v>
      </c>
      <c r="J13" s="103" t="e">
        <f t="shared" si="0"/>
        <v>#DIV/0!</v>
      </c>
      <c r="K13" s="102" t="e">
        <f t="shared" si="1"/>
        <v>#DIV/0!</v>
      </c>
      <c r="L13" s="72" t="e">
        <f t="shared" si="2"/>
        <v>#DIV/0!</v>
      </c>
      <c r="M13" s="70" t="e">
        <f t="shared" si="3"/>
        <v>#DIV/0!</v>
      </c>
      <c r="N13" s="68">
        <v>0</v>
      </c>
      <c r="O13" s="68">
        <v>12</v>
      </c>
      <c r="R13" s="216" t="e">
        <f>IF(AND(M13&gt;=0,M13&lt;=12.4),"0","1")</f>
        <v>#DIV/0!</v>
      </c>
      <c r="T13" s="222" t="str">
        <f t="shared" si="5"/>
        <v>#8</v>
      </c>
      <c r="U13" s="223">
        <v>2.36</v>
      </c>
      <c r="V13" s="224">
        <f t="shared" si="6"/>
        <v>1.4716698795820382</v>
      </c>
      <c r="W13" s="225" t="e">
        <f t="shared" si="7"/>
        <v>#DIV/0!</v>
      </c>
      <c r="X13" s="225">
        <f t="shared" si="8"/>
        <v>34.573026370582518</v>
      </c>
      <c r="Y13" s="225">
        <f t="shared" si="9"/>
        <v>28.80688712147149</v>
      </c>
      <c r="Z13" s="225">
        <f t="shared" si="10"/>
        <v>39.117517084024257</v>
      </c>
    </row>
    <row r="14" spans="2:32" ht="15" customHeight="1" x14ac:dyDescent="0.2">
      <c r="B14" s="83" t="s">
        <v>362</v>
      </c>
      <c r="C14" s="202"/>
      <c r="D14" s="69">
        <f t="shared" si="4"/>
        <v>0</v>
      </c>
      <c r="E14" s="69">
        <f>SUM(D12:D14)</f>
        <v>0</v>
      </c>
      <c r="F14" s="202"/>
      <c r="G14" s="70">
        <f t="shared" si="12"/>
        <v>0</v>
      </c>
      <c r="H14" s="200"/>
      <c r="I14" s="69">
        <f t="shared" si="11"/>
        <v>0</v>
      </c>
      <c r="J14" s="103" t="e">
        <f t="shared" si="0"/>
        <v>#DIV/0!</v>
      </c>
      <c r="K14" s="102" t="e">
        <f t="shared" si="1"/>
        <v>#DIV/0!</v>
      </c>
      <c r="L14" s="72" t="e">
        <f t="shared" si="2"/>
        <v>#DIV/0!</v>
      </c>
      <c r="M14" s="70" t="e">
        <f t="shared" si="3"/>
        <v>#DIV/0!</v>
      </c>
      <c r="N14" s="68">
        <v>0</v>
      </c>
      <c r="O14" s="68">
        <v>12</v>
      </c>
      <c r="R14" s="216" t="e">
        <f>IF(AND(M14&gt;=0,M14&lt;=12.4),"0","1")</f>
        <v>#DIV/0!</v>
      </c>
      <c r="T14" s="222" t="str">
        <f t="shared" si="5"/>
        <v>#16</v>
      </c>
      <c r="U14" s="223">
        <v>1.18</v>
      </c>
      <c r="V14" s="224">
        <f t="shared" si="6"/>
        <v>1.0773254099250416</v>
      </c>
      <c r="W14" s="225" t="e">
        <f t="shared" si="7"/>
        <v>#DIV/0!</v>
      </c>
      <c r="X14" s="225">
        <f t="shared" si="8"/>
        <v>25.308936687360383</v>
      </c>
      <c r="Y14" s="225">
        <f t="shared" si="9"/>
        <v>21.087875689633332</v>
      </c>
      <c r="Z14" s="225">
        <f t="shared" si="10"/>
        <v>28.635698611814277</v>
      </c>
    </row>
    <row r="15" spans="2:32" ht="15" customHeight="1" x14ac:dyDescent="0.2">
      <c r="B15" s="83" t="s">
        <v>363</v>
      </c>
      <c r="C15" s="202"/>
      <c r="D15" s="69">
        <f t="shared" si="4"/>
        <v>0</v>
      </c>
      <c r="E15" s="69">
        <f>SUM(D12:D15)</f>
        <v>0</v>
      </c>
      <c r="F15" s="202"/>
      <c r="G15" s="70">
        <f t="shared" si="12"/>
        <v>0</v>
      </c>
      <c r="H15" s="200"/>
      <c r="I15" s="69">
        <f t="shared" si="11"/>
        <v>0</v>
      </c>
      <c r="J15" s="103" t="e">
        <f t="shared" si="0"/>
        <v>#DIV/0!</v>
      </c>
      <c r="K15" s="102" t="e">
        <f t="shared" si="1"/>
        <v>#DIV/0!</v>
      </c>
      <c r="L15" s="72" t="e">
        <f t="shared" si="2"/>
        <v>#DIV/0!</v>
      </c>
      <c r="M15" s="70" t="e">
        <f>C$4*D15+F$4*G15+H$4*I15</f>
        <v>#DIV/0!</v>
      </c>
      <c r="N15" s="68">
        <v>4</v>
      </c>
      <c r="O15" s="68">
        <v>20</v>
      </c>
      <c r="R15" s="216" t="e">
        <f>IF(AND(M15&gt;=3.5,M15&lt;=20.4),"0","1")</f>
        <v>#DIV/0!</v>
      </c>
      <c r="T15" s="222" t="str">
        <f t="shared" si="5"/>
        <v>#30</v>
      </c>
      <c r="U15" s="223">
        <v>0.6</v>
      </c>
      <c r="V15" s="224">
        <f t="shared" si="6"/>
        <v>0.79463568224020453</v>
      </c>
      <c r="W15" s="225" t="e">
        <f t="shared" si="7"/>
        <v>#DIV/0!</v>
      </c>
      <c r="X15" s="225">
        <f t="shared" si="8"/>
        <v>18.667882504260316</v>
      </c>
      <c r="Y15" s="225">
        <f t="shared" si="9"/>
        <v>15.554426110486281</v>
      </c>
      <c r="Z15" s="225">
        <f t="shared" si="10"/>
        <v>21.1217035198373</v>
      </c>
      <c r="AD15" s="207" t="s">
        <v>1809</v>
      </c>
      <c r="AE15" s="1"/>
    </row>
    <row r="16" spans="2:32" ht="15" customHeight="1" x14ac:dyDescent="0.2">
      <c r="B16" s="83" t="s">
        <v>364</v>
      </c>
      <c r="C16" s="202"/>
      <c r="D16" s="69">
        <f t="shared" si="4"/>
        <v>0</v>
      </c>
      <c r="E16" s="69">
        <f>SUM(D12:D16)</f>
        <v>0</v>
      </c>
      <c r="F16" s="202"/>
      <c r="G16" s="70">
        <f t="shared" si="12"/>
        <v>0</v>
      </c>
      <c r="H16" s="200"/>
      <c r="I16" s="69">
        <f t="shared" si="11"/>
        <v>0</v>
      </c>
      <c r="J16" s="103" t="e">
        <f t="shared" si="0"/>
        <v>#DIV/0!</v>
      </c>
      <c r="K16" s="102" t="e">
        <f t="shared" si="1"/>
        <v>#DIV/0!</v>
      </c>
      <c r="L16" s="72" t="e">
        <f t="shared" si="2"/>
        <v>#DIV/0!</v>
      </c>
      <c r="M16" s="70" t="e">
        <f t="shared" si="3"/>
        <v>#DIV/0!</v>
      </c>
      <c r="N16" s="68">
        <v>4</v>
      </c>
      <c r="O16" s="68">
        <v>20</v>
      </c>
      <c r="R16" s="216" t="e">
        <f>IF(AND(M16&gt;=3.5,M16&lt;=20.4),"0","1")</f>
        <v>#DIV/0!</v>
      </c>
      <c r="T16" s="222" t="str">
        <f t="shared" si="5"/>
        <v>#50</v>
      </c>
      <c r="U16" s="223">
        <v>0.3</v>
      </c>
      <c r="V16" s="224">
        <f t="shared" si="6"/>
        <v>0.58170736792793831</v>
      </c>
      <c r="W16" s="225" t="e">
        <f t="shared" si="7"/>
        <v>#DIV/0!</v>
      </c>
      <c r="X16" s="225">
        <f t="shared" si="8"/>
        <v>13.665689874040565</v>
      </c>
      <c r="Y16" s="225">
        <f t="shared" si="9"/>
        <v>11.386506388503056</v>
      </c>
      <c r="Z16" s="225">
        <f t="shared" si="10"/>
        <v>15.461991998699082</v>
      </c>
      <c r="AD16" s="207" t="s">
        <v>1810</v>
      </c>
      <c r="AE16" s="207" t="s">
        <v>1811</v>
      </c>
      <c r="AF16" s="5" t="s">
        <v>1812</v>
      </c>
    </row>
    <row r="17" spans="2:32" ht="15" customHeight="1" x14ac:dyDescent="0.2">
      <c r="B17" s="83" t="s">
        <v>365</v>
      </c>
      <c r="C17" s="202"/>
      <c r="D17" s="69">
        <f t="shared" si="4"/>
        <v>0</v>
      </c>
      <c r="E17" s="69">
        <f>SUM(D12:D17)</f>
        <v>0</v>
      </c>
      <c r="F17" s="202"/>
      <c r="G17" s="70">
        <f t="shared" si="12"/>
        <v>0</v>
      </c>
      <c r="H17" s="200"/>
      <c r="I17" s="69">
        <f t="shared" si="11"/>
        <v>0</v>
      </c>
      <c r="J17" s="103" t="e">
        <f t="shared" si="0"/>
        <v>#DIV/0!</v>
      </c>
      <c r="K17" s="102" t="e">
        <f t="shared" si="1"/>
        <v>#DIV/0!</v>
      </c>
      <c r="L17" s="72" t="e">
        <f t="shared" si="2"/>
        <v>#DIV/0!</v>
      </c>
      <c r="M17" s="70" t="e">
        <f t="shared" si="3"/>
        <v>#DIV/0!</v>
      </c>
      <c r="N17" s="68">
        <v>0</v>
      </c>
      <c r="O17" s="68">
        <v>10</v>
      </c>
      <c r="R17" s="216" t="e">
        <f>IF(AND(M17&gt;=0,M17&lt;=10.4),"0","1")</f>
        <v>#DIV/0!</v>
      </c>
      <c r="T17" s="222" t="str">
        <f t="shared" si="5"/>
        <v>#100</v>
      </c>
      <c r="U17" s="223">
        <v>0.15</v>
      </c>
      <c r="V17" s="224">
        <f t="shared" si="6"/>
        <v>0.42583471830473674</v>
      </c>
      <c r="W17" s="225" t="e">
        <f t="shared" si="7"/>
        <v>#DIV/0!</v>
      </c>
      <c r="X17" s="225">
        <f t="shared" si="8"/>
        <v>10.003870534905881</v>
      </c>
      <c r="Y17" s="225">
        <f t="shared" si="9"/>
        <v>8.3354105651004069</v>
      </c>
      <c r="Z17" s="225">
        <f t="shared" si="10"/>
        <v>11.31884065806052</v>
      </c>
      <c r="AD17" s="1">
        <v>100</v>
      </c>
      <c r="AE17" s="1">
        <v>25</v>
      </c>
      <c r="AF17">
        <v>27</v>
      </c>
    </row>
    <row r="18" spans="2:32" ht="15" customHeight="1" x14ac:dyDescent="0.2">
      <c r="B18" s="85" t="s">
        <v>366</v>
      </c>
      <c r="C18" s="202"/>
      <c r="D18" s="86">
        <f t="shared" si="4"/>
        <v>0</v>
      </c>
      <c r="E18" s="86"/>
      <c r="F18" s="202"/>
      <c r="G18" s="87">
        <f>F17-F18</f>
        <v>0</v>
      </c>
      <c r="H18" s="200"/>
      <c r="I18" s="86">
        <f>H17-H18</f>
        <v>0</v>
      </c>
      <c r="J18" s="104" t="e">
        <f t="shared" si="0"/>
        <v>#DIV/0!</v>
      </c>
      <c r="K18" s="105" t="e">
        <f t="shared" si="1"/>
        <v>#DIV/0!</v>
      </c>
      <c r="L18" s="88" t="e">
        <f t="shared" si="2"/>
        <v>#DIV/0!</v>
      </c>
      <c r="M18" s="87" t="e">
        <f t="shared" si="3"/>
        <v>#DIV/0!</v>
      </c>
      <c r="N18" s="68">
        <v>0</v>
      </c>
      <c r="O18" s="68">
        <v>2</v>
      </c>
      <c r="R18" s="216" t="e">
        <f>IF(AND(M18&gt;=0,M18&lt;=2.4),"0","1")</f>
        <v>#DIV/0!</v>
      </c>
      <c r="T18" s="222" t="str">
        <f t="shared" si="5"/>
        <v>#200</v>
      </c>
      <c r="U18" s="223">
        <v>7.4999999999999997E-2</v>
      </c>
      <c r="V18" s="224">
        <f t="shared" si="6"/>
        <v>0.31172925995349998</v>
      </c>
      <c r="W18" s="225" t="e">
        <f t="shared" si="7"/>
        <v>#DIV/0!</v>
      </c>
      <c r="X18" s="225">
        <f t="shared" si="8"/>
        <v>7.3232618771238061</v>
      </c>
      <c r="Y18" s="225">
        <f t="shared" si="9"/>
        <v>6.1018776890987736</v>
      </c>
      <c r="Z18" s="225">
        <f t="shared" si="10"/>
        <v>8.2858763510770874</v>
      </c>
      <c r="AD18" s="1">
        <v>90</v>
      </c>
      <c r="AE18" s="1">
        <v>25</v>
      </c>
      <c r="AF18">
        <v>27</v>
      </c>
    </row>
    <row r="19" spans="2:32" ht="15" customHeight="1" x14ac:dyDescent="0.2">
      <c r="P19" t="s">
        <v>367</v>
      </c>
      <c r="R19" s="216" t="e">
        <f>(R7+R8+R9+R10+R11+R12+R13+R14+R15+R16+R17+R18)</f>
        <v>#DIV/0!</v>
      </c>
      <c r="V19" s="216">
        <v>0</v>
      </c>
      <c r="X19" s="216">
        <v>0</v>
      </c>
      <c r="Y19" s="216">
        <v>0</v>
      </c>
      <c r="Z19" s="216">
        <v>0</v>
      </c>
      <c r="AD19" s="1">
        <v>80</v>
      </c>
      <c r="AE19" s="1">
        <v>25.5</v>
      </c>
      <c r="AF19">
        <v>27.5</v>
      </c>
    </row>
    <row r="20" spans="2:32" ht="15" customHeight="1" x14ac:dyDescent="0.2">
      <c r="D20" s="73" t="s">
        <v>368</v>
      </c>
      <c r="E20" s="74">
        <f>SUM(E12:E17)/100</f>
        <v>0</v>
      </c>
      <c r="G20" s="207"/>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7" t="s">
        <v>1813</v>
      </c>
      <c r="AE26" s="1"/>
    </row>
    <row r="27" spans="2:32" x14ac:dyDescent="0.2">
      <c r="AD27" s="207" t="s">
        <v>1810</v>
      </c>
      <c r="AE27" s="207" t="s">
        <v>1814</v>
      </c>
    </row>
    <row r="28" spans="2:32" x14ac:dyDescent="0.2">
      <c r="AD28" s="1">
        <v>100</v>
      </c>
      <c r="AE28" s="1">
        <v>36</v>
      </c>
    </row>
    <row r="29" spans="2:32" x14ac:dyDescent="0.2">
      <c r="AD29" s="1">
        <v>37</v>
      </c>
      <c r="AE29" s="1">
        <v>45</v>
      </c>
    </row>
    <row r="30" spans="2:32" x14ac:dyDescent="0.2">
      <c r="AD30" s="1"/>
      <c r="AE30" s="1"/>
    </row>
    <row r="31" spans="2:32" x14ac:dyDescent="0.2">
      <c r="K31" s="5"/>
      <c r="AD31" s="207" t="s">
        <v>1815</v>
      </c>
      <c r="AE31" s="1"/>
    </row>
    <row r="32" spans="2:32" x14ac:dyDescent="0.2">
      <c r="AD32" s="207" t="s">
        <v>1810</v>
      </c>
      <c r="AE32" s="207" t="s">
        <v>1814</v>
      </c>
    </row>
    <row r="33" spans="2:32" x14ac:dyDescent="0.2">
      <c r="AD33" s="1">
        <v>75.5</v>
      </c>
      <c r="AE33" s="1">
        <v>28.126999999999999</v>
      </c>
    </row>
    <row r="34" spans="2:32" x14ac:dyDescent="0.2">
      <c r="AD34" s="1">
        <v>75.5</v>
      </c>
      <c r="AE34" s="1">
        <v>39.5</v>
      </c>
    </row>
    <row r="35" spans="2:32" x14ac:dyDescent="0.2">
      <c r="AD35" s="1"/>
      <c r="AE35" s="1"/>
    </row>
    <row r="36" spans="2:32" x14ac:dyDescent="0.2">
      <c r="AD36" s="207" t="s">
        <v>1816</v>
      </c>
      <c r="AE36" s="1"/>
    </row>
    <row r="37" spans="2:32" x14ac:dyDescent="0.2">
      <c r="AD37" s="207" t="s">
        <v>1810</v>
      </c>
      <c r="AE37" s="207" t="s">
        <v>1814</v>
      </c>
    </row>
    <row r="38" spans="2:32" x14ac:dyDescent="0.2">
      <c r="AD38" s="1">
        <v>46.5</v>
      </c>
      <c r="AE38" s="1">
        <v>32.524999999999999</v>
      </c>
    </row>
    <row r="39" spans="2:32" x14ac:dyDescent="0.2">
      <c r="AD39" s="1">
        <v>46.5</v>
      </c>
      <c r="AE39" s="1">
        <v>43.643000000000001</v>
      </c>
    </row>
    <row r="40" spans="2:32" x14ac:dyDescent="0.2">
      <c r="AB40" s="216"/>
      <c r="AD40" s="1"/>
      <c r="AE40" s="1"/>
    </row>
    <row r="41" spans="2:32" ht="15" x14ac:dyDescent="0.25">
      <c r="B41" s="92"/>
      <c r="C41" s="93" t="s">
        <v>369</v>
      </c>
      <c r="D41" s="94" t="e">
        <f>SUM(M15:M18)</f>
        <v>#DIV/0!</v>
      </c>
      <c r="E41" s="93" t="s">
        <v>370</v>
      </c>
      <c r="F41" s="95" t="s">
        <v>371</v>
      </c>
      <c r="G41" s="204"/>
      <c r="H41" s="208"/>
      <c r="AB41" s="216" t="e">
        <f>IF(AND(D41&gt;=23.4,D41&lt;=34.5),"0","1")</f>
        <v>#DIV/0!</v>
      </c>
      <c r="AC41" s="1"/>
      <c r="AD41" s="1" t="s">
        <v>1817</v>
      </c>
      <c r="AE41" s="1"/>
    </row>
    <row r="42" spans="2:32" ht="15" x14ac:dyDescent="0.25">
      <c r="B42" s="106"/>
      <c r="C42" s="107"/>
      <c r="D42" s="108"/>
      <c r="E42" s="206"/>
      <c r="F42" s="97" t="s">
        <v>372</v>
      </c>
      <c r="G42" s="206"/>
      <c r="H42" s="209"/>
      <c r="K42" s="1"/>
      <c r="AB42" s="216" t="e">
        <f>IF(AND(D41&gt;=24.4,D41&lt;=40.5),"0","1")</f>
        <v>#DIV/0!</v>
      </c>
      <c r="AC42" s="1"/>
      <c r="AD42" s="1">
        <v>1</v>
      </c>
      <c r="AE42" s="1" t="s">
        <v>1810</v>
      </c>
      <c r="AF42" t="s">
        <v>1814</v>
      </c>
    </row>
    <row r="43" spans="2:32" ht="15" x14ac:dyDescent="0.25">
      <c r="B43" s="96"/>
      <c r="C43" s="73" t="s">
        <v>373</v>
      </c>
      <c r="D43" s="91" t="e">
        <f>SUM(M13:M15)</f>
        <v>#DIV/0!</v>
      </c>
      <c r="E43" s="73" t="s">
        <v>374</v>
      </c>
      <c r="F43" s="95" t="s">
        <v>375</v>
      </c>
      <c r="H43" s="205"/>
      <c r="K43" s="1"/>
      <c r="AB43" s="216" t="e">
        <f>IF(D43&gt;=14.5,"0","1")</f>
        <v>#DIV/0!</v>
      </c>
      <c r="AC43" s="1" t="e">
        <f>AB41+AB43</f>
        <v>#DIV/0!</v>
      </c>
      <c r="AD43" s="1"/>
      <c r="AE43" s="1">
        <v>75.5</v>
      </c>
      <c r="AF43">
        <v>29</v>
      </c>
    </row>
    <row r="44" spans="2:32" ht="14.25" x14ac:dyDescent="0.2">
      <c r="B44" s="16"/>
      <c r="C44" s="206"/>
      <c r="D44" s="206"/>
      <c r="E44" s="206"/>
      <c r="F44" s="97" t="s">
        <v>376</v>
      </c>
      <c r="G44" s="206"/>
      <c r="H44" s="209"/>
      <c r="K44" s="1"/>
      <c r="AB44" s="216" t="e">
        <f>IF(D43&gt;=19.5,"0","1")</f>
        <v>#DIV/0!</v>
      </c>
      <c r="AC44" s="1" t="e">
        <f>AB42+AB44</f>
        <v>#DIV/0!</v>
      </c>
      <c r="AD44" s="1"/>
      <c r="AE44" s="1">
        <v>46.5</v>
      </c>
      <c r="AF44">
        <f>AF43+(AE38-AE33)</f>
        <v>33.397999999999996</v>
      </c>
    </row>
    <row r="45" spans="2:32" ht="15.75" x14ac:dyDescent="0.25">
      <c r="B45" s="10"/>
      <c r="AD45" s="1"/>
      <c r="AE45" s="1">
        <v>30</v>
      </c>
      <c r="AF45" s="227">
        <f>AF44+((AF44-AF43)/(AE44-AE43))*(AE45-AE44)</f>
        <v>35.900310344827581</v>
      </c>
    </row>
    <row r="46" spans="2:32" x14ac:dyDescent="0.2">
      <c r="AD46" s="1"/>
      <c r="AE46" s="1"/>
    </row>
    <row r="47" spans="2:32" x14ac:dyDescent="0.2">
      <c r="AD47" s="1">
        <v>2</v>
      </c>
      <c r="AE47" s="1" t="s">
        <v>1810</v>
      </c>
      <c r="AF47" t="s">
        <v>1814</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7">
        <f>AF49+((AF49-AF48)/(AE49-AE48))*(AE50-AE49)</f>
        <v>37.230310344827579</v>
      </c>
    </row>
    <row r="51" spans="30:32" x14ac:dyDescent="0.2">
      <c r="AD51" s="1"/>
      <c r="AE51" s="1"/>
    </row>
    <row r="52" spans="30:32" x14ac:dyDescent="0.2">
      <c r="AD52" s="1">
        <v>3</v>
      </c>
      <c r="AE52" s="1" t="s">
        <v>1810</v>
      </c>
      <c r="AF52" t="s">
        <v>1814</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7">
        <f>AF54+((AF54-AF53)/(AE54-AE53))*(AE55-AE54)</f>
        <v>39.230310344827579</v>
      </c>
    </row>
    <row r="56" spans="30:32" x14ac:dyDescent="0.2">
      <c r="AD56" s="1"/>
      <c r="AE56" s="1"/>
    </row>
    <row r="57" spans="30:32" x14ac:dyDescent="0.2">
      <c r="AD57" s="1">
        <v>4</v>
      </c>
      <c r="AE57" s="1" t="s">
        <v>1810</v>
      </c>
      <c r="AF57" t="s">
        <v>1814</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7">
        <f>AF59+((AF59-AF58)/(AE59-AE58))*(AE60-AE59)</f>
        <v>41.570310344827583</v>
      </c>
    </row>
  </sheetData>
  <sheetProtection algorithmName="SHA-512" hashValue="iebYrG9S/ioU3XJBDd9GjQ5trawou1QbQxj76djKAGlKfYPqGMYNvUpEs6jLx5RKyPahQbapBo7S9ZnD1DNL2A==" saltValue="uHJf9BCZpE/oreWNSiGIww==" spinCount="100000" sheet="1" formatCells="0" selectLockedCells="1"/>
  <mergeCells count="13">
    <mergeCell ref="C2:E2"/>
    <mergeCell ref="F3:G3"/>
    <mergeCell ref="F4:G4"/>
    <mergeCell ref="H3:I3"/>
    <mergeCell ref="H4:I4"/>
    <mergeCell ref="C3:E3"/>
    <mergeCell ref="C4:E4"/>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56"/>
  <sheetViews>
    <sheetView workbookViewId="0">
      <selection activeCell="J3" sqref="J3"/>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270" t="s">
        <v>377</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row>
    <row r="3" spans="1:29" x14ac:dyDescent="0.2">
      <c r="A3" s="476">
        <f>CMDS!E30</f>
        <v>0</v>
      </c>
      <c r="B3" s="476"/>
      <c r="C3" t="s">
        <v>378</v>
      </c>
      <c r="J3">
        <f>IF(A3=0,0,1)</f>
        <v>0</v>
      </c>
    </row>
    <row r="4" spans="1:29" x14ac:dyDescent="0.2">
      <c r="A4" s="476">
        <f>CMDS!E31</f>
        <v>0</v>
      </c>
      <c r="B4" s="476"/>
      <c r="C4" t="s">
        <v>379</v>
      </c>
      <c r="J4">
        <f>IF(A4=0,0,1)</f>
        <v>0</v>
      </c>
    </row>
    <row r="5" spans="1:29" x14ac:dyDescent="0.2">
      <c r="A5" s="476">
        <f>CMDS!E32</f>
        <v>0</v>
      </c>
      <c r="B5" s="476"/>
      <c r="C5" t="s">
        <v>380</v>
      </c>
      <c r="J5">
        <f>IF(A5=0,0,1)</f>
        <v>0</v>
      </c>
    </row>
    <row r="6" spans="1:29" x14ac:dyDescent="0.2">
      <c r="A6" s="476">
        <f>CMDS!E33</f>
        <v>0</v>
      </c>
      <c r="B6" s="476"/>
      <c r="C6" t="s">
        <v>381</v>
      </c>
      <c r="J6">
        <f>IF(A6=0,0,1)</f>
        <v>0</v>
      </c>
    </row>
    <row r="7" spans="1:29" x14ac:dyDescent="0.2">
      <c r="J7">
        <f>SUM(J3:J6)</f>
        <v>0</v>
      </c>
    </row>
    <row r="8" spans="1:29" x14ac:dyDescent="0.2">
      <c r="A8" s="4" t="s">
        <v>382</v>
      </c>
      <c r="G8" s="804" t="b">
        <f>OR(CMDS!V6="501 QC/QA PCCP",CMDS!V6=730)</f>
        <v>1</v>
      </c>
      <c r="H8" s="804"/>
      <c r="I8" s="804"/>
    </row>
    <row r="9" spans="1:29" x14ac:dyDescent="0.2">
      <c r="A9" s="805" t="s">
        <v>383</v>
      </c>
      <c r="B9" s="805"/>
      <c r="C9" s="805"/>
      <c r="D9" s="805"/>
      <c r="E9" s="805"/>
      <c r="F9" s="805"/>
      <c r="G9" s="270" t="b">
        <f>IF(AND(G8=TRUE,CMDS!E31&gt;0),TRUE,FALSE)</f>
        <v>0</v>
      </c>
      <c r="H9" s="270"/>
      <c r="I9" s="270"/>
    </row>
    <row r="10" spans="1:29" x14ac:dyDescent="0.2">
      <c r="A10" s="805" t="s">
        <v>384</v>
      </c>
      <c r="B10" s="805"/>
      <c r="C10" s="805"/>
      <c r="D10" s="805"/>
      <c r="E10" s="805"/>
      <c r="F10" s="805"/>
      <c r="G10" s="270" t="b">
        <f>IF(AND(G8=TRUE,CMDS!E32&gt;0),TRUE,FALSE)</f>
        <v>0</v>
      </c>
      <c r="H10" s="270"/>
      <c r="I10" s="270"/>
    </row>
    <row r="11" spans="1:29" x14ac:dyDescent="0.2">
      <c r="A11" s="805" t="s">
        <v>385</v>
      </c>
      <c r="B11" s="805"/>
      <c r="C11" s="805"/>
      <c r="D11" s="805"/>
      <c r="E11" s="805"/>
      <c r="F11" s="805"/>
      <c r="G11" s="270" t="str">
        <f>IF(G9=TRUE,CMDS!E30/CMDS!E31,"NA")</f>
        <v>NA</v>
      </c>
      <c r="H11" s="270"/>
      <c r="I11" s="270"/>
    </row>
    <row r="12" spans="1:29" x14ac:dyDescent="0.2">
      <c r="A12" s="805" t="s">
        <v>386</v>
      </c>
      <c r="B12" s="805"/>
      <c r="C12" s="805"/>
      <c r="D12" s="805"/>
      <c r="E12" s="805"/>
      <c r="F12" s="805"/>
      <c r="G12" s="270" t="str">
        <f>IF(G10=TRUE,CMDS!E30/CMDS!E32,"NA")</f>
        <v>NA</v>
      </c>
      <c r="H12" s="270"/>
      <c r="I12" s="270"/>
    </row>
    <row r="13" spans="1:29" x14ac:dyDescent="0.2">
      <c r="A13" s="805" t="s">
        <v>387</v>
      </c>
      <c r="B13" s="805"/>
      <c r="C13" s="805"/>
      <c r="D13" s="805"/>
      <c r="E13" s="805"/>
      <c r="F13" s="805"/>
      <c r="G13" s="270" t="b">
        <f>IF(AND(CMDS!V6="SP 730",CMDS!E33&gt;0),TRUE,FALSE)</f>
        <v>0</v>
      </c>
      <c r="H13" s="270"/>
      <c r="I13" s="270"/>
    </row>
    <row r="14" spans="1:29" x14ac:dyDescent="0.2">
      <c r="A14" s="805" t="s">
        <v>388</v>
      </c>
      <c r="B14" s="805"/>
      <c r="C14" s="805"/>
      <c r="D14" s="805"/>
      <c r="E14" s="805"/>
      <c r="F14" s="805"/>
      <c r="G14" s="270">
        <f>IF(G13=TRUE,CMDS!E33*100/(CMDS!E30+CMDS!E31+CMDS!E32+CMDS!E33),0)</f>
        <v>0</v>
      </c>
      <c r="H14" s="270"/>
      <c r="I14" s="270"/>
    </row>
    <row r="16" spans="1:29" x14ac:dyDescent="0.2">
      <c r="A16" s="806" t="s">
        <v>389</v>
      </c>
      <c r="B16" s="807"/>
      <c r="C16" s="807"/>
      <c r="D16" s="807"/>
      <c r="E16" s="807"/>
      <c r="F16" s="807"/>
      <c r="O16" s="4"/>
      <c r="P16" s="4"/>
      <c r="Q16" s="4"/>
    </row>
    <row r="17" spans="1:9" x14ac:dyDescent="0.2">
      <c r="A17" s="806" t="s">
        <v>390</v>
      </c>
      <c r="B17" s="807"/>
      <c r="C17" s="807"/>
      <c r="D17" s="807"/>
      <c r="E17" s="807"/>
      <c r="F17" s="807"/>
      <c r="G17" s="804" t="b">
        <f>OR(CMDS!V6="502 Standard Strength",CMDS!V6="706 Moment Slab")</f>
        <v>0</v>
      </c>
      <c r="H17" s="804"/>
      <c r="I17" s="804"/>
    </row>
    <row r="18" spans="1:9" x14ac:dyDescent="0.2">
      <c r="A18" s="805" t="s">
        <v>391</v>
      </c>
      <c r="B18" s="805"/>
      <c r="C18" s="805"/>
      <c r="D18" s="805"/>
      <c r="E18" s="805"/>
      <c r="F18" s="805"/>
      <c r="G18" s="270">
        <f>IF(AND(G17=TRUE,OR(G19=TRUE,G21=TRUE)),(564-CMDS!E30)*100/564,0)</f>
        <v>0</v>
      </c>
      <c r="H18" s="270"/>
      <c r="I18" s="270"/>
    </row>
    <row r="19" spans="1:9" x14ac:dyDescent="0.2">
      <c r="A19" s="805" t="s">
        <v>383</v>
      </c>
      <c r="B19" s="805"/>
      <c r="C19" s="805"/>
      <c r="D19" s="805"/>
      <c r="E19" s="805"/>
      <c r="F19" s="805"/>
      <c r="G19" s="270" t="b">
        <f>AND(G17=TRUE,CMDS!E31&gt;0)</f>
        <v>0</v>
      </c>
      <c r="H19" s="270"/>
      <c r="I19" s="270"/>
    </row>
    <row r="20" spans="1:9" x14ac:dyDescent="0.2">
      <c r="A20" s="805" t="s">
        <v>392</v>
      </c>
      <c r="B20" s="805"/>
      <c r="C20" s="805"/>
      <c r="D20" s="805"/>
      <c r="E20" s="805"/>
      <c r="F20" s="805"/>
      <c r="G20" s="270">
        <f>IF(G19=TRUE,CMDS!E31/(564-CMDS!E30),0)</f>
        <v>0</v>
      </c>
      <c r="H20" s="270"/>
      <c r="I20" s="270"/>
    </row>
    <row r="21" spans="1:9" x14ac:dyDescent="0.2">
      <c r="A21" s="805" t="s">
        <v>384</v>
      </c>
      <c r="B21" s="805"/>
      <c r="C21" s="805"/>
      <c r="D21" s="805"/>
      <c r="E21" s="805"/>
      <c r="F21" s="805"/>
      <c r="G21" s="270" t="b">
        <f>AND(G17=TRUE,CMDS!E32&gt;0)</f>
        <v>0</v>
      </c>
      <c r="H21" s="270"/>
      <c r="I21" s="270"/>
    </row>
    <row r="22" spans="1:9" x14ac:dyDescent="0.2">
      <c r="A22" s="805" t="s">
        <v>393</v>
      </c>
      <c r="B22" s="805"/>
      <c r="C22" s="805"/>
      <c r="D22" s="805"/>
      <c r="E22" s="805"/>
      <c r="F22" s="805"/>
      <c r="G22" s="270">
        <f>IF(G21=TRUE,CMDS!E32/(564-CMDS!E30),0)</f>
        <v>0</v>
      </c>
      <c r="H22" s="270"/>
      <c r="I22" s="270"/>
    </row>
    <row r="24" spans="1:9" x14ac:dyDescent="0.2">
      <c r="A24" s="804" t="s">
        <v>394</v>
      </c>
      <c r="B24" s="804"/>
      <c r="C24" s="804"/>
      <c r="D24" s="804"/>
      <c r="E24" s="804"/>
      <c r="F24" s="804"/>
      <c r="G24" s="804" t="b">
        <f>IF(CMDS!V6="502 High-Early Strength",TRUE,FALSE)</f>
        <v>0</v>
      </c>
      <c r="H24" s="804"/>
      <c r="I24" s="804"/>
    </row>
    <row r="25" spans="1:9" x14ac:dyDescent="0.2">
      <c r="A25" s="805" t="s">
        <v>395</v>
      </c>
      <c r="B25" s="805"/>
      <c r="C25" s="805"/>
      <c r="D25" s="805"/>
      <c r="E25" s="805"/>
      <c r="F25" s="805"/>
      <c r="G25" s="270">
        <f>IF(G24=TRUE,CMDS!E31*100/CMDS!E30,0)</f>
        <v>0</v>
      </c>
      <c r="H25" s="270"/>
      <c r="I25" s="270"/>
    </row>
    <row r="26" spans="1:9" x14ac:dyDescent="0.2">
      <c r="A26" s="805" t="s">
        <v>396</v>
      </c>
      <c r="B26" s="805"/>
      <c r="C26" s="805"/>
      <c r="D26" s="805"/>
      <c r="E26" s="805"/>
      <c r="F26" s="805"/>
      <c r="G26" s="270">
        <f>IF(G24=TRUE,CMDS!E32*100/CMDS!E30,0)</f>
        <v>0</v>
      </c>
      <c r="H26" s="270"/>
      <c r="I26" s="270"/>
    </row>
    <row r="27" spans="1:9" x14ac:dyDescent="0.2">
      <c r="A27" s="215"/>
      <c r="B27" s="215"/>
      <c r="C27" s="215"/>
      <c r="D27" s="215"/>
      <c r="E27" s="215"/>
      <c r="F27" s="215"/>
      <c r="G27" s="1"/>
      <c r="H27" s="1"/>
      <c r="I27" s="1"/>
    </row>
    <row r="28" spans="1:9" x14ac:dyDescent="0.2">
      <c r="A28" s="807" t="s">
        <v>397</v>
      </c>
      <c r="B28" s="805"/>
      <c r="C28" s="805"/>
      <c r="D28" s="805"/>
      <c r="E28" s="805"/>
      <c r="F28" s="805"/>
    </row>
    <row r="29" spans="1:9" x14ac:dyDescent="0.2">
      <c r="A29" s="807" t="s">
        <v>398</v>
      </c>
      <c r="B29" s="805"/>
      <c r="C29" s="805"/>
      <c r="D29" s="805"/>
      <c r="E29" s="805"/>
      <c r="F29" s="805"/>
      <c r="G29" s="804" t="b">
        <f>IF(OR(CMDS!V6="702 Class B non-exp",CMDS!V6="723 Cl B",CMDS!V6="735 Cl B"),TRUE,FALSE)</f>
        <v>0</v>
      </c>
      <c r="H29" s="804"/>
      <c r="I29" s="804"/>
    </row>
    <row r="30" spans="1:9" x14ac:dyDescent="0.2">
      <c r="A30" s="805" t="s">
        <v>391</v>
      </c>
      <c r="B30" s="805"/>
      <c r="C30" s="805"/>
      <c r="D30" s="805"/>
      <c r="E30" s="805"/>
      <c r="F30" s="805"/>
      <c r="G30" s="270">
        <f>IF(AND(G29=TRUE,OR(G31=TRUE,G33=TRUE)),(470-CMDS!E30)*100/470,0)</f>
        <v>0</v>
      </c>
      <c r="H30" s="270"/>
      <c r="I30" s="270"/>
    </row>
    <row r="31" spans="1:9" x14ac:dyDescent="0.2">
      <c r="A31" s="805" t="s">
        <v>383</v>
      </c>
      <c r="B31" s="805"/>
      <c r="C31" s="805"/>
      <c r="D31" s="805"/>
      <c r="E31" s="805"/>
      <c r="F31" s="805"/>
      <c r="G31" s="270" t="b">
        <f>AND(G29=TRUE,CMDS!E31&gt;0)</f>
        <v>0</v>
      </c>
      <c r="H31" s="270"/>
      <c r="I31" s="270"/>
    </row>
    <row r="32" spans="1:9" x14ac:dyDescent="0.2">
      <c r="A32" s="805" t="s">
        <v>399</v>
      </c>
      <c r="B32" s="805"/>
      <c r="C32" s="805"/>
      <c r="D32" s="805"/>
      <c r="E32" s="805"/>
      <c r="F32" s="805"/>
      <c r="G32" s="270">
        <f>IF(G31=TRUE,CMDS!E31/(470-CMDS!E30),0)</f>
        <v>0</v>
      </c>
      <c r="H32" s="270"/>
      <c r="I32" s="270"/>
    </row>
    <row r="33" spans="1:9" x14ac:dyDescent="0.2">
      <c r="A33" s="805" t="s">
        <v>384</v>
      </c>
      <c r="B33" s="805"/>
      <c r="C33" s="805"/>
      <c r="D33" s="805"/>
      <c r="E33" s="805"/>
      <c r="F33" s="805"/>
      <c r="G33" s="270" t="b">
        <f>AND(G29=TRUE,CMDS!E32&gt;0)</f>
        <v>0</v>
      </c>
      <c r="H33" s="270"/>
      <c r="I33" s="270"/>
    </row>
    <row r="34" spans="1:9" x14ac:dyDescent="0.2">
      <c r="A34" s="805" t="s">
        <v>400</v>
      </c>
      <c r="B34" s="805"/>
      <c r="C34" s="805"/>
      <c r="D34" s="805"/>
      <c r="E34" s="805"/>
      <c r="F34" s="805"/>
      <c r="G34" s="808">
        <f>IF(G33=TRUE,CMDS!E32/(470-CMDS!E30),0)</f>
        <v>0</v>
      </c>
      <c r="H34" s="808"/>
      <c r="I34" s="808"/>
    </row>
    <row r="36" spans="1:9" x14ac:dyDescent="0.2">
      <c r="A36" s="804" t="s">
        <v>401</v>
      </c>
      <c r="B36" s="804"/>
      <c r="C36" s="804"/>
      <c r="D36" s="804"/>
      <c r="E36" s="804"/>
      <c r="F36" s="804"/>
      <c r="G36" s="804" t="b">
        <f>IF(OR(CMDS!V6="702 Class C exp",CMDS!V6="702 Class C non-exp"),TRUE,FALSE)</f>
        <v>0</v>
      </c>
      <c r="H36" s="804"/>
      <c r="I36" s="804"/>
    </row>
    <row r="37" spans="1:9" x14ac:dyDescent="0.2">
      <c r="A37" s="805" t="s">
        <v>391</v>
      </c>
      <c r="B37" s="805"/>
      <c r="C37" s="805"/>
      <c r="D37" s="805"/>
      <c r="E37" s="805"/>
      <c r="F37" s="805"/>
      <c r="G37" s="270">
        <f>IF(AND(G36=TRUE,OR(G38=TRUE,G40=TRUE)),(658-CMDS!E30)*100/658,0)</f>
        <v>0</v>
      </c>
      <c r="H37" s="270"/>
      <c r="I37" s="270"/>
    </row>
    <row r="38" spans="1:9" x14ac:dyDescent="0.2">
      <c r="A38" s="805" t="s">
        <v>383</v>
      </c>
      <c r="B38" s="805"/>
      <c r="C38" s="805"/>
      <c r="D38" s="805"/>
      <c r="E38" s="805"/>
      <c r="F38" s="805"/>
      <c r="G38" s="270" t="b">
        <f>AND(G36=TRUE,CMDS!E31&gt;0)</f>
        <v>0</v>
      </c>
      <c r="H38" s="270"/>
      <c r="I38" s="270"/>
    </row>
    <row r="39" spans="1:9" x14ac:dyDescent="0.2">
      <c r="A39" s="805" t="s">
        <v>392</v>
      </c>
      <c r="B39" s="805"/>
      <c r="C39" s="805"/>
      <c r="D39" s="805"/>
      <c r="E39" s="805"/>
      <c r="F39" s="805"/>
      <c r="G39" s="270">
        <f>IF(G38=TRUE,CMDS!E31/(658-CMDS!E30),0)</f>
        <v>0</v>
      </c>
      <c r="H39" s="270"/>
      <c r="I39" s="270"/>
    </row>
    <row r="40" spans="1:9" x14ac:dyDescent="0.2">
      <c r="A40" s="805" t="s">
        <v>402</v>
      </c>
      <c r="B40" s="805"/>
      <c r="C40" s="805"/>
      <c r="D40" s="805"/>
      <c r="E40" s="805"/>
      <c r="F40" s="805"/>
      <c r="G40" s="270" t="b">
        <f>AND(G36=TRUE,CMDS!E32&gt;0)</f>
        <v>0</v>
      </c>
      <c r="H40" s="270"/>
      <c r="I40" s="270"/>
    </row>
    <row r="41" spans="1:9" x14ac:dyDescent="0.2">
      <c r="A41" s="805" t="s">
        <v>403</v>
      </c>
      <c r="B41" s="805"/>
      <c r="C41" s="805"/>
      <c r="D41" s="805"/>
      <c r="E41" s="805"/>
      <c r="F41" s="805"/>
      <c r="G41" s="270">
        <f>IF(G40=TRUE,CMDS!E32/(658-CMDS!E30),0)</f>
        <v>0</v>
      </c>
      <c r="H41" s="270"/>
      <c r="I41" s="270"/>
    </row>
    <row r="43" spans="1:9" x14ac:dyDescent="0.2">
      <c r="A43" s="807" t="s">
        <v>404</v>
      </c>
      <c r="B43" s="807"/>
      <c r="C43" s="807"/>
      <c r="D43" s="807"/>
      <c r="E43" s="807"/>
      <c r="F43" s="807"/>
    </row>
    <row r="44" spans="1:9" x14ac:dyDescent="0.2">
      <c r="A44" s="807" t="s">
        <v>405</v>
      </c>
      <c r="B44" s="807"/>
      <c r="C44" s="807"/>
      <c r="D44" s="807"/>
      <c r="E44" s="807"/>
      <c r="F44" s="807"/>
      <c r="G44" s="804" t="b">
        <f>IF(OR(CMDS!V6="709 Class A",CMDS!V6="709 Class C"),TRUE,FALSE)</f>
        <v>0</v>
      </c>
      <c r="H44" s="804"/>
      <c r="I44" s="804"/>
    </row>
    <row r="45" spans="1:9" x14ac:dyDescent="0.2">
      <c r="A45" s="805" t="s">
        <v>387</v>
      </c>
      <c r="B45" s="805"/>
      <c r="C45" s="805"/>
      <c r="D45" s="805"/>
      <c r="E45" s="805"/>
      <c r="F45" s="805"/>
      <c r="G45" s="270" t="b">
        <v>1</v>
      </c>
      <c r="H45" s="270"/>
      <c r="I45" s="270"/>
    </row>
    <row r="46" spans="1:9" x14ac:dyDescent="0.2">
      <c r="A46" s="805" t="s">
        <v>388</v>
      </c>
      <c r="B46" s="805"/>
      <c r="C46" s="805"/>
      <c r="D46" s="805"/>
      <c r="E46" s="805"/>
      <c r="F46" s="805"/>
      <c r="G46" s="270" t="e">
        <f>IF(G45=TRUE,CMDS!E33*100/(CMDS!E30+CMDS!E31+CMDS!E32+CMDS!E33),0)</f>
        <v>#DIV/0!</v>
      </c>
      <c r="H46" s="270"/>
      <c r="I46" s="270"/>
    </row>
    <row r="47" spans="1:9" x14ac:dyDescent="0.2">
      <c r="A47" s="805" t="s">
        <v>402</v>
      </c>
      <c r="B47" s="805"/>
      <c r="C47" s="805"/>
      <c r="D47" s="805"/>
      <c r="E47" s="805"/>
      <c r="F47" s="805"/>
      <c r="G47" s="270" t="b">
        <f>IF(AND(G44=TRUE,CMDS!E32&gt;0),TRUE,FALSE)</f>
        <v>0</v>
      </c>
      <c r="H47" s="270"/>
      <c r="I47" s="270"/>
    </row>
    <row r="48" spans="1:9" x14ac:dyDescent="0.2">
      <c r="A48" s="805" t="s">
        <v>406</v>
      </c>
      <c r="B48" s="805"/>
      <c r="C48" s="805"/>
      <c r="D48" s="805"/>
      <c r="E48" s="805"/>
      <c r="F48" s="805"/>
      <c r="G48" s="808">
        <f>IF(G47=TRUE,CMDS!E32*100/CMDS!E30+CMDS!E31,0)</f>
        <v>0</v>
      </c>
      <c r="H48" s="808"/>
      <c r="I48" s="808"/>
    </row>
    <row r="50" spans="1:12" x14ac:dyDescent="0.2">
      <c r="A50" s="804" t="s">
        <v>407</v>
      </c>
      <c r="B50" s="804"/>
      <c r="C50" s="804"/>
      <c r="D50" s="804"/>
      <c r="E50" s="804"/>
      <c r="F50" s="804"/>
      <c r="G50" s="804" t="b">
        <f>FALSE</f>
        <v>0</v>
      </c>
      <c r="H50" s="804"/>
      <c r="I50" s="804"/>
    </row>
    <row r="51" spans="1:12" x14ac:dyDescent="0.2">
      <c r="A51" s="270" t="s">
        <v>383</v>
      </c>
      <c r="B51" s="270"/>
      <c r="C51" s="270"/>
      <c r="D51" s="270"/>
      <c r="E51" s="270"/>
      <c r="F51" s="270"/>
      <c r="G51" s="270" t="b">
        <f>AND(G50=TRUE,CMDS!E31&gt;0)</f>
        <v>0</v>
      </c>
      <c r="H51" s="270"/>
      <c r="I51" s="270"/>
    </row>
    <row r="52" spans="1:12" x14ac:dyDescent="0.2">
      <c r="A52" s="270" t="s">
        <v>408</v>
      </c>
      <c r="B52" s="270"/>
      <c r="C52" s="270"/>
      <c r="D52" s="270"/>
      <c r="E52" s="270"/>
      <c r="F52" s="270"/>
      <c r="G52" s="476">
        <f>IF(AND(G50=TRUE,G51=TRUE),(658-CMDS!E30)*100/658,0)</f>
        <v>0</v>
      </c>
      <c r="H52" s="476"/>
      <c r="I52" s="476"/>
    </row>
    <row r="53" spans="1:12" x14ac:dyDescent="0.2">
      <c r="A53" s="270" t="s">
        <v>392</v>
      </c>
      <c r="B53" s="270"/>
      <c r="C53" s="270"/>
      <c r="D53" s="270"/>
      <c r="E53" s="270"/>
      <c r="F53" s="270"/>
      <c r="G53" s="808">
        <f>IF(G51=TRUE,CMDS!E31/(658-CMDS!E30),0)</f>
        <v>0</v>
      </c>
      <c r="H53" s="808"/>
      <c r="I53" s="808"/>
    </row>
    <row r="55" spans="1:12" x14ac:dyDescent="0.2">
      <c r="A55" t="s">
        <v>409</v>
      </c>
      <c r="H55" s="20">
        <v>6.5</v>
      </c>
      <c r="L55" s="5" t="s">
        <v>410</v>
      </c>
    </row>
    <row r="56" spans="1:12" x14ac:dyDescent="0.2">
      <c r="H56" s="20">
        <v>7</v>
      </c>
      <c r="L56" s="5"/>
    </row>
  </sheetData>
  <sheetProtection selectLockedCells="1" selectUnlockedCells="1"/>
  <mergeCells count="81">
    <mergeCell ref="A53:F53"/>
    <mergeCell ref="G52:I52"/>
    <mergeCell ref="G53:I53"/>
    <mergeCell ref="A47:F47"/>
    <mergeCell ref="A48:F48"/>
    <mergeCell ref="A50:F50"/>
    <mergeCell ref="G50:I50"/>
    <mergeCell ref="A51:F51"/>
    <mergeCell ref="G51:I51"/>
    <mergeCell ref="G47:I47"/>
    <mergeCell ref="G45:I45"/>
    <mergeCell ref="G46:I46"/>
    <mergeCell ref="A52:F52"/>
    <mergeCell ref="A45:F45"/>
    <mergeCell ref="A46:F46"/>
    <mergeCell ref="G48:I48"/>
    <mergeCell ref="A43:F43"/>
    <mergeCell ref="A44:F44"/>
    <mergeCell ref="G44:I44"/>
    <mergeCell ref="A36:F36"/>
    <mergeCell ref="G36:I36"/>
    <mergeCell ref="A37:F37"/>
    <mergeCell ref="A38:F38"/>
    <mergeCell ref="A39:F39"/>
    <mergeCell ref="A40:F40"/>
    <mergeCell ref="A41:F41"/>
    <mergeCell ref="G37:I37"/>
    <mergeCell ref="G38:I38"/>
    <mergeCell ref="G39:I39"/>
    <mergeCell ref="G40:I40"/>
    <mergeCell ref="G41:I41"/>
    <mergeCell ref="A34:F34"/>
    <mergeCell ref="A33:F33"/>
    <mergeCell ref="A32:F32"/>
    <mergeCell ref="G29:I29"/>
    <mergeCell ref="A30:F30"/>
    <mergeCell ref="A31:F31"/>
    <mergeCell ref="G30:I30"/>
    <mergeCell ref="G31:I31"/>
    <mergeCell ref="G32:I32"/>
    <mergeCell ref="G33:I33"/>
    <mergeCell ref="G34:I34"/>
    <mergeCell ref="G22:I22"/>
    <mergeCell ref="A29:F29"/>
    <mergeCell ref="A24:F24"/>
    <mergeCell ref="G24:I24"/>
    <mergeCell ref="A25:F25"/>
    <mergeCell ref="A26:F26"/>
    <mergeCell ref="G25:I25"/>
    <mergeCell ref="G26:I26"/>
    <mergeCell ref="A22:F22"/>
    <mergeCell ref="A28:F28"/>
    <mergeCell ref="A17:F17"/>
    <mergeCell ref="G17:I17"/>
    <mergeCell ref="A18:F18"/>
    <mergeCell ref="G18:I18"/>
    <mergeCell ref="G21:I21"/>
    <mergeCell ref="A21:F21"/>
    <mergeCell ref="G20:I20"/>
    <mergeCell ref="A19:F19"/>
    <mergeCell ref="A20:F20"/>
    <mergeCell ref="G19:I19"/>
    <mergeCell ref="A10:F10"/>
    <mergeCell ref="A12:F12"/>
    <mergeCell ref="A11:F11"/>
    <mergeCell ref="G11:I11"/>
    <mergeCell ref="G12:I12"/>
    <mergeCell ref="G10:I10"/>
    <mergeCell ref="A13:F13"/>
    <mergeCell ref="A14:F14"/>
    <mergeCell ref="G13:I13"/>
    <mergeCell ref="G14:I14"/>
    <mergeCell ref="A16:F16"/>
    <mergeCell ref="G8:I8"/>
    <mergeCell ref="A9:F9"/>
    <mergeCell ref="A1:AC1"/>
    <mergeCell ref="A3:B3"/>
    <mergeCell ref="A4:B4"/>
    <mergeCell ref="A5:B5"/>
    <mergeCell ref="A6:B6"/>
    <mergeCell ref="G9:I9"/>
  </mergeCells>
  <phoneticPr fontId="2" type="noConversion"/>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84" zoomScale="115" zoomScaleNormal="115" workbookViewId="0">
      <selection activeCell="A141" sqref="A141"/>
    </sheetView>
  </sheetViews>
  <sheetFormatPr defaultColWidth="9.140625" defaultRowHeight="12.75" x14ac:dyDescent="0.2"/>
  <cols>
    <col min="1" max="1" width="79.85546875" customWidth="1"/>
    <col min="2" max="2" width="9.140625" style="136" customWidth="1"/>
    <col min="3" max="3" width="6.28515625" style="136" customWidth="1"/>
    <col min="4" max="4" width="6.85546875" style="136" customWidth="1"/>
    <col min="5" max="5" width="46.140625" customWidth="1"/>
    <col min="6" max="6" width="30.28515625" customWidth="1"/>
    <col min="7" max="8" width="6.85546875" customWidth="1"/>
    <col min="9" max="16384" width="9.140625" style="109"/>
  </cols>
  <sheetData>
    <row r="1" spans="1:6" ht="12.75" customHeight="1" x14ac:dyDescent="0.2">
      <c r="A1" t="str">
        <f t="shared" ref="A1:A75" si="0">E1&amp;"  "&amp;C1&amp;"  "&amp;F1&amp;"  "&amp;D1</f>
        <v>AGGREGATE INDUSTRIES  2410  EDWARDSBURG, MI  2410</v>
      </c>
      <c r="B1" s="134" t="s">
        <v>411</v>
      </c>
      <c r="C1" s="130">
        <v>2410</v>
      </c>
      <c r="D1" s="134">
        <v>2410</v>
      </c>
      <c r="E1" s="131" t="s">
        <v>412</v>
      </c>
      <c r="F1" s="131" t="s">
        <v>413</v>
      </c>
    </row>
    <row r="2" spans="1:6" ht="12.75" customHeight="1" x14ac:dyDescent="0.2">
      <c r="A2" t="str">
        <f t="shared" si="0"/>
        <v>AMERICAN AGGREGATES, INC.  2408  NILES, MI  2408</v>
      </c>
      <c r="B2" s="134" t="s">
        <v>414</v>
      </c>
      <c r="C2" s="130">
        <v>2408</v>
      </c>
      <c r="D2" s="134">
        <v>2408</v>
      </c>
      <c r="E2" s="131" t="s">
        <v>415</v>
      </c>
      <c r="F2" s="131" t="s">
        <v>416</v>
      </c>
    </row>
    <row r="3" spans="1:6" ht="12.75" customHeight="1" x14ac:dyDescent="0.2">
      <c r="A3" t="str">
        <f t="shared" si="0"/>
        <v>AMERICAN AGGREGATES, INC.  2973  NILES, MI  2408</v>
      </c>
      <c r="B3" s="134" t="s">
        <v>417</v>
      </c>
      <c r="C3" s="130">
        <v>2973</v>
      </c>
      <c r="D3" s="134">
        <v>2408</v>
      </c>
      <c r="E3" s="131" t="s">
        <v>415</v>
      </c>
      <c r="F3" s="131" t="s">
        <v>416</v>
      </c>
    </row>
    <row r="4" spans="1:6" ht="12.75" customHeight="1" x14ac:dyDescent="0.2">
      <c r="A4" t="str">
        <f t="shared" si="0"/>
        <v>AUDUBON SAND &amp; GRAVEL   0151  HENDERSON, KY  0151</v>
      </c>
      <c r="B4" s="134" t="s">
        <v>418</v>
      </c>
      <c r="C4" s="132" t="s">
        <v>419</v>
      </c>
      <c r="D4" s="135" t="s">
        <v>419</v>
      </c>
      <c r="E4" s="131" t="s">
        <v>420</v>
      </c>
      <c r="F4" s="131" t="s">
        <v>421</v>
      </c>
    </row>
    <row r="5" spans="1:6" ht="12.75" customHeight="1" x14ac:dyDescent="0.2">
      <c r="A5" t="str">
        <f t="shared" si="0"/>
        <v>BARRETT PAVING MATERIALS, INC.  2334  RICHMOND, IN.  2334</v>
      </c>
      <c r="B5" s="134" t="s">
        <v>422</v>
      </c>
      <c r="C5" s="130">
        <v>2334</v>
      </c>
      <c r="D5" s="134">
        <v>2334</v>
      </c>
      <c r="E5" s="131" t="s">
        <v>423</v>
      </c>
      <c r="F5" s="131" t="s">
        <v>424</v>
      </c>
    </row>
    <row r="6" spans="1:6" ht="12.75" customHeight="1" x14ac:dyDescent="0.2">
      <c r="A6" t="str">
        <f t="shared" si="0"/>
        <v>BEAVER MATERIALS  2381  NOBLESVILLE, IN.  2381</v>
      </c>
      <c r="B6" s="134" t="s">
        <v>425</v>
      </c>
      <c r="C6" s="130">
        <v>2381</v>
      </c>
      <c r="D6" s="134">
        <v>2381</v>
      </c>
      <c r="E6" s="131" t="s">
        <v>426</v>
      </c>
      <c r="F6" s="131" t="s">
        <v>427</v>
      </c>
    </row>
    <row r="7" spans="1:6" ht="12.75" customHeight="1" x14ac:dyDescent="0.2">
      <c r="A7" t="str">
        <f t="shared" si="0"/>
        <v>BEAVER MATERIALS  2578  WAVERLY, IN  2578</v>
      </c>
      <c r="B7" s="134" t="s">
        <v>428</v>
      </c>
      <c r="C7" s="130">
        <v>2578</v>
      </c>
      <c r="D7" s="134">
        <v>2578</v>
      </c>
      <c r="E7" s="131" t="s">
        <v>426</v>
      </c>
      <c r="F7" s="131" t="s">
        <v>429</v>
      </c>
    </row>
    <row r="8" spans="1:6" ht="12.75" customHeight="1" x14ac:dyDescent="0.2">
      <c r="A8" t="str">
        <f t="shared" si="0"/>
        <v>BEEMSTERBOER SLAG CORP.  2781  HAMMOND, IN  2781</v>
      </c>
      <c r="B8" s="134" t="s">
        <v>430</v>
      </c>
      <c r="C8" s="130">
        <v>2781</v>
      </c>
      <c r="D8" s="134">
        <v>2781</v>
      </c>
      <c r="E8" s="131" t="s">
        <v>431</v>
      </c>
      <c r="F8" s="131" t="s">
        <v>432</v>
      </c>
    </row>
    <row r="9" spans="1:6" ht="12.75" customHeight="1" x14ac:dyDescent="0.2">
      <c r="A9" t="str">
        <f t="shared" si="0"/>
        <v>BEEMSTERBOER-SOUTH SHORE SLAG  2473  HAMMOMD, IN  2473</v>
      </c>
      <c r="B9" s="134" t="s">
        <v>433</v>
      </c>
      <c r="C9" s="130">
        <v>2473</v>
      </c>
      <c r="D9" s="134">
        <v>2473</v>
      </c>
      <c r="E9" s="131" t="s">
        <v>434</v>
      </c>
      <c r="F9" s="131" t="s">
        <v>435</v>
      </c>
    </row>
    <row r="10" spans="1:6" ht="12.75" customHeight="1" x14ac:dyDescent="0.2">
      <c r="A10" t="str">
        <f t="shared" si="0"/>
        <v>BROOKFIELD SAND AND GRAVEL  2787  ACTON, IN  2787</v>
      </c>
      <c r="B10" s="134" t="s">
        <v>436</v>
      </c>
      <c r="C10" s="130">
        <v>2787</v>
      </c>
      <c r="D10" s="134">
        <v>2787</v>
      </c>
      <c r="E10" s="131" t="s">
        <v>437</v>
      </c>
      <c r="F10" s="131" t="s">
        <v>438</v>
      </c>
    </row>
    <row r="11" spans="1:6" ht="12.75" customHeight="1" x14ac:dyDescent="0.2">
      <c r="A11" t="str">
        <f t="shared" si="0"/>
        <v>BROOKS CONSTRUCTION CO., INC.  2986  FORT WAYNE, IN  2986</v>
      </c>
      <c r="B11" s="134" t="s">
        <v>439</v>
      </c>
      <c r="C11" s="130">
        <v>2986</v>
      </c>
      <c r="D11" s="134">
        <v>2986</v>
      </c>
      <c r="E11" s="131" t="s">
        <v>440</v>
      </c>
      <c r="F11" s="131" t="s">
        <v>441</v>
      </c>
    </row>
    <row r="12" spans="1:6" ht="12.75" customHeight="1" x14ac:dyDescent="0.2">
      <c r="A12" t="str">
        <f t="shared" si="0"/>
        <v>BUNNELL, JAMES INC.  2512  CLEVES, OHIO  2512</v>
      </c>
      <c r="B12" s="134" t="s">
        <v>442</v>
      </c>
      <c r="C12" s="130">
        <v>2512</v>
      </c>
      <c r="D12" s="134">
        <v>2512</v>
      </c>
      <c r="E12" s="131" t="s">
        <v>443</v>
      </c>
      <c r="F12" s="131" t="s">
        <v>444</v>
      </c>
    </row>
    <row r="13" spans="1:6" ht="12.75" customHeight="1" x14ac:dyDescent="0.2">
      <c r="A13" t="str">
        <f t="shared" si="0"/>
        <v>BUTLER MILL SERVICE  2772  BUTLER, IN  2772</v>
      </c>
      <c r="B13" s="134" t="s">
        <v>445</v>
      </c>
      <c r="C13" s="130">
        <v>2772</v>
      </c>
      <c r="D13" s="134">
        <v>2772</v>
      </c>
      <c r="E13" s="131" t="s">
        <v>446</v>
      </c>
      <c r="F13" s="131" t="s">
        <v>447</v>
      </c>
    </row>
    <row r="14" spans="1:6" ht="12.75" customHeight="1" x14ac:dyDescent="0.2">
      <c r="A14" t="str">
        <f t="shared" si="0"/>
        <v>CALDWELL GRAVEL SALES INC.  2329  MORRISTOWN, IN  2329</v>
      </c>
      <c r="B14" s="134" t="s">
        <v>448</v>
      </c>
      <c r="C14" s="130">
        <v>2329</v>
      </c>
      <c r="D14" s="134">
        <v>2329</v>
      </c>
      <c r="E14" s="131" t="s">
        <v>449</v>
      </c>
      <c r="F14" s="131" t="s">
        <v>450</v>
      </c>
    </row>
    <row r="15" spans="1:6" ht="12.75" customHeight="1" x14ac:dyDescent="0.2">
      <c r="A15" t="str">
        <f t="shared" si="0"/>
        <v>CAVE QUARRIES, INC.  2641  PAOLI, IN.  2641</v>
      </c>
      <c r="B15" s="134" t="s">
        <v>451</v>
      </c>
      <c r="C15" s="130">
        <v>2641</v>
      </c>
      <c r="D15" s="134">
        <v>2641</v>
      </c>
      <c r="E15" s="131" t="s">
        <v>452</v>
      </c>
      <c r="F15" s="131" t="s">
        <v>453</v>
      </c>
    </row>
    <row r="16" spans="1:6" ht="12.75" customHeight="1" x14ac:dyDescent="0.2">
      <c r="A16" t="str">
        <f t="shared" si="0"/>
        <v>CAVE/CALCAR QUARRIES, INC.  2643  PAOLI, IN.  2641</v>
      </c>
      <c r="B16" s="134" t="s">
        <v>454</v>
      </c>
      <c r="C16" s="130">
        <v>2643</v>
      </c>
      <c r="D16" s="134">
        <v>2641</v>
      </c>
      <c r="E16" s="131" t="s">
        <v>455</v>
      </c>
      <c r="F16" s="131" t="s">
        <v>453</v>
      </c>
    </row>
    <row r="17" spans="1:6" ht="12.75" customHeight="1" x14ac:dyDescent="0.2">
      <c r="A17" t="str">
        <f t="shared" si="0"/>
        <v>CAVE/CALCAR QUARRIES, INC.  2643  PAOLI, IN.  2643</v>
      </c>
      <c r="B17" s="134" t="s">
        <v>454</v>
      </c>
      <c r="C17" s="130">
        <v>2643</v>
      </c>
      <c r="D17" s="134">
        <v>2643</v>
      </c>
      <c r="E17" s="131" t="s">
        <v>455</v>
      </c>
      <c r="F17" s="131" t="s">
        <v>453</v>
      </c>
    </row>
    <row r="18" spans="1:6" ht="12.75" customHeight="1" x14ac:dyDescent="0.2">
      <c r="A18" t="str">
        <f t="shared" si="0"/>
        <v>Clifford Aggregates  2743  LIGONIER, IN  2743</v>
      </c>
      <c r="B18" s="134" t="s">
        <v>456</v>
      </c>
      <c r="C18" s="130">
        <v>2743</v>
      </c>
      <c r="D18" s="134">
        <v>2743</v>
      </c>
      <c r="E18" s="131" t="s">
        <v>457</v>
      </c>
      <c r="F18" s="131" t="s">
        <v>458</v>
      </c>
    </row>
    <row r="19" spans="1:6" ht="12.75" customHeight="1" x14ac:dyDescent="0.2">
      <c r="A19" t="str">
        <f t="shared" si="0"/>
        <v>Clifford Aggregates  2248  KENDALLVILLE, IN.  2248</v>
      </c>
      <c r="B19" s="134" t="s">
        <v>459</v>
      </c>
      <c r="C19" s="130">
        <v>2248</v>
      </c>
      <c r="D19" s="134">
        <v>2248</v>
      </c>
      <c r="E19" s="131" t="s">
        <v>457</v>
      </c>
      <c r="F19" s="131" t="s">
        <v>460</v>
      </c>
    </row>
    <row r="20" spans="1:6" ht="12.75" customHeight="1" x14ac:dyDescent="0.2">
      <c r="A20" t="str">
        <f t="shared" si="0"/>
        <v>Clifford Aggregates  2247  SOUTH MILFORD, IN.  2283</v>
      </c>
      <c r="B20" s="134" t="s">
        <v>461</v>
      </c>
      <c r="C20" s="130">
        <v>2247</v>
      </c>
      <c r="D20" s="134">
        <v>2283</v>
      </c>
      <c r="E20" s="131" t="s">
        <v>457</v>
      </c>
      <c r="F20" s="131" t="s">
        <v>462</v>
      </c>
    </row>
    <row r="21" spans="1:6" ht="12.75" customHeight="1" x14ac:dyDescent="0.2">
      <c r="A21" t="str">
        <f t="shared" si="0"/>
        <v>Clifford Aggregates  2283  SOUTH MILFORD, IN.  2283</v>
      </c>
      <c r="B21" s="134" t="s">
        <v>463</v>
      </c>
      <c r="C21" s="130">
        <v>2283</v>
      </c>
      <c r="D21" s="134">
        <v>2283</v>
      </c>
      <c r="E21" s="131" t="s">
        <v>457</v>
      </c>
      <c r="F21" s="131" t="s">
        <v>462</v>
      </c>
    </row>
    <row r="22" spans="1:6" ht="12.75" customHeight="1" x14ac:dyDescent="0.2">
      <c r="A22" t="str">
        <f t="shared" si="0"/>
        <v>Clifford Aggregates  2283  SOUTH MILFORD, IN.  2283</v>
      </c>
      <c r="B22" s="134" t="s">
        <v>463</v>
      </c>
      <c r="C22" s="130">
        <v>2283</v>
      </c>
      <c r="D22" s="134">
        <v>2283</v>
      </c>
      <c r="E22" s="131" t="s">
        <v>457</v>
      </c>
      <c r="F22" s="131" t="s">
        <v>462</v>
      </c>
    </row>
    <row r="23" spans="1:6" ht="12.75" customHeight="1" x14ac:dyDescent="0.2">
      <c r="A23" t="str">
        <f t="shared" si="0"/>
        <v>Clifford Aggregates  2763  ANGOLA, IN  2763</v>
      </c>
      <c r="B23" s="134" t="s">
        <v>464</v>
      </c>
      <c r="C23" s="130">
        <v>2763</v>
      </c>
      <c r="D23" s="134">
        <v>2763</v>
      </c>
      <c r="E23" s="131" t="s">
        <v>457</v>
      </c>
      <c r="F23" s="131" t="s">
        <v>465</v>
      </c>
    </row>
    <row r="24" spans="1:6" ht="12.75" customHeight="1" x14ac:dyDescent="0.2">
      <c r="A24" t="str">
        <f t="shared" si="0"/>
        <v>Clifford Aggregates  2247  AUBURN, IN.  2247</v>
      </c>
      <c r="B24" s="134" t="s">
        <v>461</v>
      </c>
      <c r="C24" s="130">
        <v>2247</v>
      </c>
      <c r="D24" s="134">
        <v>2247</v>
      </c>
      <c r="E24" s="131" t="s">
        <v>457</v>
      </c>
      <c r="F24" s="131" t="s">
        <v>466</v>
      </c>
    </row>
    <row r="25" spans="1:6" ht="12.75" customHeight="1" x14ac:dyDescent="0.2">
      <c r="A25" t="str">
        <f t="shared" si="0"/>
        <v>COUNTY LINE SAND AND GRAVEL  2387  KOKOMO, IN.  2387</v>
      </c>
      <c r="B25" s="134" t="s">
        <v>467</v>
      </c>
      <c r="C25" s="130">
        <v>2387</v>
      </c>
      <c r="D25" s="134">
        <v>2387</v>
      </c>
      <c r="E25" s="131" t="s">
        <v>468</v>
      </c>
      <c r="F25" s="131" t="s">
        <v>469</v>
      </c>
    </row>
    <row r="26" spans="1:6" ht="12.75" customHeight="1" x14ac:dyDescent="0.2">
      <c r="A26" t="str">
        <f t="shared" si="0"/>
        <v>E. S. WAGNER CO.  9998  ORGEON, OH  9998</v>
      </c>
      <c r="B26" s="134" t="s">
        <v>470</v>
      </c>
      <c r="C26" s="130">
        <v>9998</v>
      </c>
      <c r="D26" s="134">
        <v>9998</v>
      </c>
      <c r="E26" s="131" t="s">
        <v>471</v>
      </c>
      <c r="F26" s="131" t="s">
        <v>472</v>
      </c>
    </row>
    <row r="27" spans="1:6" ht="12.75" customHeight="1" x14ac:dyDescent="0.2">
      <c r="A27" t="str">
        <f t="shared" si="0"/>
        <v>ELKHART COUNTY GRAVEL, INC.  2206  MILFORD, IN.  2206</v>
      </c>
      <c r="B27" s="134" t="s">
        <v>473</v>
      </c>
      <c r="C27" s="130">
        <v>2206</v>
      </c>
      <c r="D27" s="134">
        <v>2206</v>
      </c>
      <c r="E27" s="131" t="s">
        <v>474</v>
      </c>
      <c r="F27" s="131" t="s">
        <v>475</v>
      </c>
    </row>
    <row r="28" spans="1:6" ht="12.75" customHeight="1" x14ac:dyDescent="0.2">
      <c r="A28" t="str">
        <f t="shared" si="0"/>
        <v>ELKHART COUNTY GRAVEL, INC.  2718  WARSAW, IN.  2718</v>
      </c>
      <c r="B28" s="134" t="s">
        <v>476</v>
      </c>
      <c r="C28" s="130">
        <v>2718</v>
      </c>
      <c r="D28" s="134">
        <v>2718</v>
      </c>
      <c r="E28" s="131" t="s">
        <v>474</v>
      </c>
      <c r="F28" s="131" t="s">
        <v>477</v>
      </c>
    </row>
    <row r="29" spans="1:6" ht="12.75" customHeight="1" x14ac:dyDescent="0.2">
      <c r="A29" t="str">
        <f t="shared" si="0"/>
        <v>ELKHART COUNTY GRAVEL-PLANT 1  2789  MIDDLEBURY, IN  2789</v>
      </c>
      <c r="B29" s="134" t="s">
        <v>478</v>
      </c>
      <c r="C29" s="130">
        <v>2789</v>
      </c>
      <c r="D29" s="134">
        <v>2789</v>
      </c>
      <c r="E29" s="131" t="s">
        <v>479</v>
      </c>
      <c r="F29" s="131" t="s">
        <v>480</v>
      </c>
    </row>
    <row r="30" spans="1:6" ht="12.75" customHeight="1" x14ac:dyDescent="0.2">
      <c r="A30" t="str">
        <f t="shared" si="0"/>
        <v>ELKHART COUNTY GRAVEL-PLANT 2  2700  MIDDLEBURY, IN.  2700</v>
      </c>
      <c r="B30" s="134" t="s">
        <v>481</v>
      </c>
      <c r="C30" s="130">
        <v>2700</v>
      </c>
      <c r="D30" s="134">
        <v>2700</v>
      </c>
      <c r="E30" s="131" t="s">
        <v>482</v>
      </c>
      <c r="F30" s="131" t="s">
        <v>483</v>
      </c>
    </row>
    <row r="31" spans="1:6" ht="12.75" customHeight="1" x14ac:dyDescent="0.2">
      <c r="A31" t="str">
        <f t="shared" si="0"/>
        <v>ELKHART COUNTY GRAVEL-PLANT 2  2973  MIDDLEBURY, IN.  2700</v>
      </c>
      <c r="B31" s="134" t="s">
        <v>417</v>
      </c>
      <c r="C31" s="130">
        <v>2973</v>
      </c>
      <c r="D31" s="134">
        <v>2700</v>
      </c>
      <c r="E31" s="131" t="s">
        <v>482</v>
      </c>
      <c r="F31" s="131" t="s">
        <v>483</v>
      </c>
    </row>
    <row r="32" spans="1:6" ht="12.75" customHeight="1" x14ac:dyDescent="0.2">
      <c r="A32" t="str">
        <f t="shared" si="0"/>
        <v>ENGINEERING AGGREGATES-PLANT1  2423  LOGANSPORT, IN.  2423</v>
      </c>
      <c r="B32" s="134" t="s">
        <v>484</v>
      </c>
      <c r="C32" s="130">
        <v>2423</v>
      </c>
      <c r="D32" s="134">
        <v>2423</v>
      </c>
      <c r="E32" s="131" t="s">
        <v>485</v>
      </c>
      <c r="F32" s="131" t="s">
        <v>486</v>
      </c>
    </row>
    <row r="33" spans="1:6" ht="12.75" customHeight="1" x14ac:dyDescent="0.2">
      <c r="A33" t="str">
        <f t="shared" si="0"/>
        <v>ENGINEERING AGGREGATES-PLANT3  0136  LOGANSPORT, IN  0136</v>
      </c>
      <c r="B33" s="134" t="s">
        <v>487</v>
      </c>
      <c r="C33" s="130" t="s">
        <v>488</v>
      </c>
      <c r="D33" s="134" t="s">
        <v>488</v>
      </c>
      <c r="E33" s="131" t="s">
        <v>489</v>
      </c>
      <c r="F33" s="131" t="s">
        <v>490</v>
      </c>
    </row>
    <row r="34" spans="1:6" ht="12.75" customHeight="1" x14ac:dyDescent="0.2">
      <c r="A34" t="str">
        <f t="shared" si="0"/>
        <v>ESHELMAN EXCAVATING  2758  KENDALLVILLE, IN  2758</v>
      </c>
      <c r="B34" s="134" t="s">
        <v>491</v>
      </c>
      <c r="C34" s="130">
        <v>2758</v>
      </c>
      <c r="D34" s="134">
        <v>2758</v>
      </c>
      <c r="E34" s="131" t="s">
        <v>492</v>
      </c>
      <c r="F34" s="131" t="s">
        <v>493</v>
      </c>
    </row>
    <row r="35" spans="1:6" ht="12.75" customHeight="1" x14ac:dyDescent="0.2">
      <c r="A35" t="str">
        <f t="shared" si="0"/>
        <v>EVANSVILLE MATERIALS, INC.  2632  EVANSVILLE, IN.  2632</v>
      </c>
      <c r="B35" s="134" t="s">
        <v>494</v>
      </c>
      <c r="C35" s="130">
        <v>2632</v>
      </c>
      <c r="D35" s="134">
        <v>2632</v>
      </c>
      <c r="E35" s="131" t="s">
        <v>495</v>
      </c>
      <c r="F35" s="131" t="s">
        <v>496</v>
      </c>
    </row>
    <row r="36" spans="1:6" ht="12.75" customHeight="1" x14ac:dyDescent="0.2">
      <c r="A36" t="str">
        <f t="shared" si="0"/>
        <v>EVANSVILLE MATERIALS, INC.  2969  EVANSVILLE, IN.  2632</v>
      </c>
      <c r="B36" s="134" t="s">
        <v>497</v>
      </c>
      <c r="C36" s="130">
        <v>2969</v>
      </c>
      <c r="D36" s="134">
        <v>2632</v>
      </c>
      <c r="E36" s="131" t="s">
        <v>495</v>
      </c>
      <c r="F36" s="131" t="s">
        <v>496</v>
      </c>
    </row>
    <row r="37" spans="1:6" ht="12.75" customHeight="1" x14ac:dyDescent="0.2">
      <c r="A37" t="str">
        <f t="shared" si="0"/>
        <v>EVANSVILLE MATERIALS, INC.  2970  EVANSVILLE, IN.  2632</v>
      </c>
      <c r="B37" s="134" t="s">
        <v>498</v>
      </c>
      <c r="C37" s="130">
        <v>2970</v>
      </c>
      <c r="D37" s="134">
        <v>2632</v>
      </c>
      <c r="E37" s="131" t="s">
        <v>495</v>
      </c>
      <c r="F37" s="131" t="s">
        <v>496</v>
      </c>
    </row>
    <row r="38" spans="1:6" ht="12.75" customHeight="1" x14ac:dyDescent="0.2">
      <c r="A38" t="str">
        <f t="shared" si="0"/>
        <v>EVANSVILLE MATERIALS, INC.  2971  EVANSVILLE, IN.  2632</v>
      </c>
      <c r="B38" s="134" t="s">
        <v>499</v>
      </c>
      <c r="C38" s="130">
        <v>2971</v>
      </c>
      <c r="D38" s="134">
        <v>2632</v>
      </c>
      <c r="E38" s="131" t="s">
        <v>495</v>
      </c>
      <c r="F38" s="131" t="s">
        <v>496</v>
      </c>
    </row>
    <row r="39" spans="1:6" ht="12.75" customHeight="1" x14ac:dyDescent="0.2">
      <c r="A39" t="str">
        <f t="shared" si="0"/>
        <v>EVANSVILLE MATERIALS, INC.  2972  EVANSVILLE, IN.  2632</v>
      </c>
      <c r="B39" s="134" t="s">
        <v>500</v>
      </c>
      <c r="C39" s="130">
        <v>2972</v>
      </c>
      <c r="D39" s="134">
        <v>2632</v>
      </c>
      <c r="E39" s="131" t="s">
        <v>495</v>
      </c>
      <c r="F39" s="131" t="s">
        <v>496</v>
      </c>
    </row>
    <row r="40" spans="1:6" ht="12.75" customHeight="1" x14ac:dyDescent="0.2">
      <c r="A40" t="str">
        <f t="shared" si="0"/>
        <v>EVANSVILLE MATERIALS, INC.  2974  EVANSVILLE, IN.  2632</v>
      </c>
      <c r="B40" s="134" t="s">
        <v>501</v>
      </c>
      <c r="C40" s="130">
        <v>2974</v>
      </c>
      <c r="D40" s="134">
        <v>2632</v>
      </c>
      <c r="E40" s="131" t="s">
        <v>495</v>
      </c>
      <c r="F40" s="131" t="s">
        <v>496</v>
      </c>
    </row>
    <row r="41" spans="1:6" ht="12.75" customHeight="1" x14ac:dyDescent="0.2">
      <c r="A41" t="str">
        <f t="shared" si="0"/>
        <v>GIBSON COUNTY SAND AND GRAVEL  2688  OWENSVILLE, IN  2688</v>
      </c>
      <c r="B41" s="134" t="s">
        <v>502</v>
      </c>
      <c r="C41" s="130">
        <v>2688</v>
      </c>
      <c r="D41" s="134">
        <v>2688</v>
      </c>
      <c r="E41" s="131" t="s">
        <v>503</v>
      </c>
      <c r="F41" s="131" t="s">
        <v>504</v>
      </c>
    </row>
    <row r="42" spans="1:6" ht="12.75" customHeight="1" x14ac:dyDescent="0.2">
      <c r="A42" t="str">
        <f t="shared" si="0"/>
        <v>HARRISON SAND AND GRAVEL CO.  2509  METAMORA, IN.  2509</v>
      </c>
      <c r="B42" s="134" t="s">
        <v>505</v>
      </c>
      <c r="C42" s="130">
        <v>2509</v>
      </c>
      <c r="D42" s="134">
        <v>2509</v>
      </c>
      <c r="E42" s="131" t="s">
        <v>506</v>
      </c>
      <c r="F42" s="131" t="s">
        <v>507</v>
      </c>
    </row>
    <row r="43" spans="1:6" ht="12.75" customHeight="1" x14ac:dyDescent="0.2">
      <c r="A43" t="str">
        <f t="shared" si="0"/>
        <v>HARRISON SAND AND GRAVEL CO.  2510  METAMORA, IN.  2509</v>
      </c>
      <c r="B43" s="134" t="s">
        <v>508</v>
      </c>
      <c r="C43" s="130">
        <v>2510</v>
      </c>
      <c r="D43" s="134">
        <v>2509</v>
      </c>
      <c r="E43" s="131" t="s">
        <v>506</v>
      </c>
      <c r="F43" s="131" t="s">
        <v>507</v>
      </c>
    </row>
    <row r="44" spans="1:6" ht="12.75" customHeight="1" x14ac:dyDescent="0.2">
      <c r="A44" t="str">
        <f t="shared" si="0"/>
        <v>HARRISON SAND AND GRAVEL CO.  2514  NEW TRENTON, IN.  2514</v>
      </c>
      <c r="B44" s="134" t="s">
        <v>509</v>
      </c>
      <c r="C44" s="130" t="s">
        <v>510</v>
      </c>
      <c r="D44" s="134" t="s">
        <v>510</v>
      </c>
      <c r="E44" s="131" t="s">
        <v>506</v>
      </c>
      <c r="F44" s="131" t="s">
        <v>511</v>
      </c>
    </row>
    <row r="45" spans="1:6" ht="12.75" customHeight="1" x14ac:dyDescent="0.2">
      <c r="A45" t="str">
        <f t="shared" si="0"/>
        <v>HASTIE MINING AND TRUCKING  2609  CAVE-IN-ROCK, IL.  2609</v>
      </c>
      <c r="B45" s="134" t="s">
        <v>512</v>
      </c>
      <c r="C45" s="130">
        <v>2609</v>
      </c>
      <c r="D45" s="134">
        <v>2609</v>
      </c>
      <c r="E45" s="131" t="s">
        <v>513</v>
      </c>
      <c r="F45" s="131" t="s">
        <v>514</v>
      </c>
    </row>
    <row r="46" spans="1:6" ht="12.75" customHeight="1" x14ac:dyDescent="0.2">
      <c r="A46" t="str">
        <f t="shared" si="0"/>
        <v>HAYNES SAND AND GRAVEL  2238  FT. WAYNE, IN  2797</v>
      </c>
      <c r="B46" s="134" t="s">
        <v>515</v>
      </c>
      <c r="C46" s="130">
        <v>2238</v>
      </c>
      <c r="D46" s="134">
        <v>2797</v>
      </c>
      <c r="E46" s="131" t="s">
        <v>516</v>
      </c>
      <c r="F46" s="131" t="s">
        <v>517</v>
      </c>
    </row>
    <row r="47" spans="1:6" ht="12.75" customHeight="1" x14ac:dyDescent="0.2">
      <c r="A47" t="str">
        <f t="shared" si="0"/>
        <v>HAYNES SAND AND GRAVEL  2797  FT. WAYNE, IN  2797</v>
      </c>
      <c r="B47" s="134" t="s">
        <v>518</v>
      </c>
      <c r="C47" s="130">
        <v>2797</v>
      </c>
      <c r="D47" s="134">
        <v>2797</v>
      </c>
      <c r="E47" s="131" t="s">
        <v>516</v>
      </c>
      <c r="F47" s="131" t="s">
        <v>517</v>
      </c>
    </row>
    <row r="48" spans="1:6" ht="12.75" customHeight="1" x14ac:dyDescent="0.2">
      <c r="A48" t="str">
        <f t="shared" si="0"/>
        <v>HECKETT/MULTISERV  2977  GHENT, KY  2775</v>
      </c>
      <c r="B48" s="134" t="s">
        <v>519</v>
      </c>
      <c r="C48" s="130">
        <v>2977</v>
      </c>
      <c r="D48" s="134">
        <v>2775</v>
      </c>
      <c r="E48" s="131" t="s">
        <v>520</v>
      </c>
      <c r="F48" s="131" t="s">
        <v>521</v>
      </c>
    </row>
    <row r="49" spans="1:6" ht="12.75" customHeight="1" x14ac:dyDescent="0.2">
      <c r="A49" t="str">
        <f t="shared" si="0"/>
        <v>Heidelberg Materials Midwest   2562  SALEM, IN.  2562</v>
      </c>
      <c r="B49" s="134" t="s">
        <v>522</v>
      </c>
      <c r="C49" s="130">
        <v>2562</v>
      </c>
      <c r="D49" s="134">
        <v>2562</v>
      </c>
      <c r="E49" s="131" t="s">
        <v>523</v>
      </c>
      <c r="F49" s="131" t="s">
        <v>524</v>
      </c>
    </row>
    <row r="50" spans="1:6" ht="12.75" customHeight="1" x14ac:dyDescent="0.2">
      <c r="A50" t="str">
        <f t="shared" si="0"/>
        <v>Heidelberg Materials Midwest   2135  PUTNAMVILLE, IN  2135</v>
      </c>
      <c r="B50" s="134" t="s">
        <v>525</v>
      </c>
      <c r="C50" s="130">
        <v>2135</v>
      </c>
      <c r="D50" s="134">
        <v>2135</v>
      </c>
      <c r="E50" s="131" t="s">
        <v>523</v>
      </c>
      <c r="F50" s="131" t="s">
        <v>526</v>
      </c>
    </row>
    <row r="51" spans="1:6" ht="12.75" customHeight="1" x14ac:dyDescent="0.2">
      <c r="A51" t="str">
        <f t="shared" si="0"/>
        <v>Heidelberg Materials Midwest   2232  ANGOLA, IN.  2240</v>
      </c>
      <c r="B51" s="134" t="s">
        <v>527</v>
      </c>
      <c r="C51" s="130">
        <v>2232</v>
      </c>
      <c r="D51" s="134">
        <v>2240</v>
      </c>
      <c r="E51" s="131" t="s">
        <v>523</v>
      </c>
      <c r="F51" s="131" t="s">
        <v>528</v>
      </c>
    </row>
    <row r="52" spans="1:6" ht="12.75" customHeight="1" x14ac:dyDescent="0.2">
      <c r="A52" t="str">
        <f t="shared" si="0"/>
        <v>Heidelberg Materials Midwest   2312  PUTNAMVILLE, IN  2135</v>
      </c>
      <c r="B52" s="134" t="s">
        <v>529</v>
      </c>
      <c r="C52" s="130">
        <v>2312</v>
      </c>
      <c r="D52" s="134">
        <v>2135</v>
      </c>
      <c r="E52" s="131" t="s">
        <v>523</v>
      </c>
      <c r="F52" s="131" t="s">
        <v>526</v>
      </c>
    </row>
    <row r="53" spans="1:6" ht="12.75" customHeight="1" x14ac:dyDescent="0.2">
      <c r="A53" t="str">
        <f t="shared" si="0"/>
        <v>Heidelberg Materials Midwest- AGGROCK  2783  SELLERSBURG, IN  2783</v>
      </c>
      <c r="B53" s="134" t="s">
        <v>530</v>
      </c>
      <c r="C53" s="130">
        <v>2783</v>
      </c>
      <c r="D53" s="134">
        <v>2783</v>
      </c>
      <c r="E53" s="131" t="s">
        <v>531</v>
      </c>
      <c r="F53" s="131" t="s">
        <v>532</v>
      </c>
    </row>
    <row r="54" spans="1:6" ht="12.75" customHeight="1" x14ac:dyDescent="0.2">
      <c r="A54" t="str">
        <f t="shared" si="0"/>
        <v>Heidelberg Materials Midwest  - ARDMORE  2206  FORT WAYNE, IN.  2232</v>
      </c>
      <c r="B54" s="134" t="s">
        <v>473</v>
      </c>
      <c r="C54" s="130">
        <v>2206</v>
      </c>
      <c r="D54" s="134">
        <v>2232</v>
      </c>
      <c r="E54" s="131" t="s">
        <v>533</v>
      </c>
      <c r="F54" s="131" t="s">
        <v>534</v>
      </c>
    </row>
    <row r="55" spans="1:6" ht="12.75" customHeight="1" x14ac:dyDescent="0.2">
      <c r="A55" t="str">
        <f t="shared" si="0"/>
        <v>Heidelberg Materials Midwest  - ARDMORE  2217  FORT WAYNE, IN.  2232</v>
      </c>
      <c r="B55" s="134" t="s">
        <v>535</v>
      </c>
      <c r="C55" s="130">
        <v>2217</v>
      </c>
      <c r="D55" s="134">
        <v>2232</v>
      </c>
      <c r="E55" s="131" t="s">
        <v>533</v>
      </c>
      <c r="F55" s="131" t="s">
        <v>534</v>
      </c>
    </row>
    <row r="56" spans="1:6" ht="12.75" customHeight="1" x14ac:dyDescent="0.2">
      <c r="A56" t="str">
        <f t="shared" si="0"/>
        <v>Heidelberg Materials Midwest  - ARDMORE  2232  FORT WAYNE, IN.  2232</v>
      </c>
      <c r="B56" s="134" t="s">
        <v>536</v>
      </c>
      <c r="C56" s="130">
        <v>2232</v>
      </c>
      <c r="D56" s="134">
        <v>2232</v>
      </c>
      <c r="E56" s="131" t="s">
        <v>533</v>
      </c>
      <c r="F56" s="131" t="s">
        <v>534</v>
      </c>
    </row>
    <row r="57" spans="1:6" ht="12.75" customHeight="1" x14ac:dyDescent="0.2">
      <c r="A57" t="str">
        <f t="shared" si="0"/>
        <v>Heidelberg Materials Midwest  - ARDMORE  2237  FORT WAYNE, IN.  2232</v>
      </c>
      <c r="B57" s="134" t="s">
        <v>537</v>
      </c>
      <c r="C57" s="130">
        <v>2237</v>
      </c>
      <c r="D57" s="134">
        <v>2232</v>
      </c>
      <c r="E57" s="131" t="s">
        <v>533</v>
      </c>
      <c r="F57" s="131" t="s">
        <v>534</v>
      </c>
    </row>
    <row r="58" spans="1:6" ht="12.75" customHeight="1" x14ac:dyDescent="0.2">
      <c r="A58" t="str">
        <f t="shared" si="0"/>
        <v>Heidelberg Materials Midwest  - ARDMORE  2240  FORT WAYNE, IN.  2232</v>
      </c>
      <c r="B58" s="134" t="s">
        <v>527</v>
      </c>
      <c r="C58" s="130">
        <v>2240</v>
      </c>
      <c r="D58" s="134">
        <v>2232</v>
      </c>
      <c r="E58" s="131" t="s">
        <v>533</v>
      </c>
      <c r="F58" s="131" t="s">
        <v>534</v>
      </c>
    </row>
    <row r="59" spans="1:6" ht="12.75" customHeight="1" x14ac:dyDescent="0.2">
      <c r="A59" t="str">
        <f t="shared" si="0"/>
        <v>Heidelberg Materials Midwest  - ARDMORE  2283  FORT WAYNE, IN.  2232</v>
      </c>
      <c r="B59" s="134" t="s">
        <v>463</v>
      </c>
      <c r="C59" s="130">
        <v>2283</v>
      </c>
      <c r="D59" s="134">
        <v>2232</v>
      </c>
      <c r="E59" s="131" t="s">
        <v>533</v>
      </c>
      <c r="F59" s="131" t="s">
        <v>534</v>
      </c>
    </row>
    <row r="60" spans="1:6" ht="12.75" customHeight="1" x14ac:dyDescent="0.2">
      <c r="A60" t="str">
        <f t="shared" si="0"/>
        <v>Heidelberg Materials Midwest  - ARDMORE  2743  FORT WAYNE, IN.  2232</v>
      </c>
      <c r="B60" s="134" t="s">
        <v>456</v>
      </c>
      <c r="C60" s="130">
        <v>2743</v>
      </c>
      <c r="D60" s="134">
        <v>2232</v>
      </c>
      <c r="E60" s="131" t="s">
        <v>533</v>
      </c>
      <c r="F60" s="131" t="s">
        <v>534</v>
      </c>
    </row>
    <row r="61" spans="1:6" ht="12.75" customHeight="1" x14ac:dyDescent="0.2">
      <c r="A61" t="str">
        <f t="shared" si="0"/>
        <v>Heidelberg Materials Midwest  - ATKINS  2573  JEFFERSONVILLE, IN.  2573</v>
      </c>
      <c r="B61" s="134" t="s">
        <v>538</v>
      </c>
      <c r="C61" s="130">
        <v>2573</v>
      </c>
      <c r="D61" s="134">
        <v>2573</v>
      </c>
      <c r="E61" s="131" t="s">
        <v>539</v>
      </c>
      <c r="F61" s="131" t="s">
        <v>540</v>
      </c>
    </row>
    <row r="62" spans="1:6" ht="12.75" customHeight="1" x14ac:dyDescent="0.2">
      <c r="A62" t="str">
        <f t="shared" si="0"/>
        <v>Heidelberg Materials Midwest -MILNER  2764  BUNKER HILL, IN  2764</v>
      </c>
      <c r="B62" s="134" t="s">
        <v>541</v>
      </c>
      <c r="C62" s="130">
        <v>2764</v>
      </c>
      <c r="D62" s="134">
        <v>2764</v>
      </c>
      <c r="E62" s="131" t="s">
        <v>542</v>
      </c>
      <c r="F62" s="131" t="s">
        <v>543</v>
      </c>
    </row>
    <row r="63" spans="1:6" ht="12.75" customHeight="1" x14ac:dyDescent="0.2">
      <c r="A63" t="str">
        <f t="shared" si="0"/>
        <v>Heidelberg Materials Midwest -MILNER  2973  BUNKER HILL, IN  2764</v>
      </c>
      <c r="B63" s="134" t="s">
        <v>417</v>
      </c>
      <c r="C63" s="130">
        <v>2973</v>
      </c>
      <c r="D63" s="134">
        <v>2764</v>
      </c>
      <c r="E63" s="131" t="s">
        <v>542</v>
      </c>
      <c r="F63" s="131" t="s">
        <v>543</v>
      </c>
    </row>
    <row r="64" spans="1:6" ht="12.75" customHeight="1" x14ac:dyDescent="0.2">
      <c r="A64" t="str">
        <f t="shared" si="0"/>
        <v>Heidelberg Materials Midwest - SCOTT CO.  2563  BLOCHER, IN.  2563</v>
      </c>
      <c r="B64" s="134" t="s">
        <v>544</v>
      </c>
      <c r="C64" s="130">
        <v>2563</v>
      </c>
      <c r="D64" s="134">
        <v>2563</v>
      </c>
      <c r="E64" s="131" t="s">
        <v>545</v>
      </c>
      <c r="F64" s="131" t="s">
        <v>546</v>
      </c>
    </row>
    <row r="65" spans="1:6" ht="12.75" customHeight="1" x14ac:dyDescent="0.2">
      <c r="A65" t="str">
        <f t="shared" si="0"/>
        <v>Heidelberg Materials Midwest  - WOODBURN 2  2237  EDGERTON, IN.  2237</v>
      </c>
      <c r="B65" s="134" t="s">
        <v>537</v>
      </c>
      <c r="C65" s="130">
        <v>2237</v>
      </c>
      <c r="D65" s="134">
        <v>2237</v>
      </c>
      <c r="E65" s="131" t="s">
        <v>547</v>
      </c>
      <c r="F65" s="131" t="s">
        <v>548</v>
      </c>
    </row>
    <row r="66" spans="1:6" ht="12.75" customHeight="1" x14ac:dyDescent="0.2">
      <c r="A66" t="str">
        <f t="shared" si="0"/>
        <v>Heidelberg Materials Midwest  - WOODBURN 2  2749  EDGERTON, IN.  2237</v>
      </c>
      <c r="B66" s="134" t="s">
        <v>549</v>
      </c>
      <c r="C66" s="130">
        <v>2749</v>
      </c>
      <c r="D66" s="134">
        <v>2237</v>
      </c>
      <c r="E66" s="131" t="s">
        <v>547</v>
      </c>
      <c r="F66" s="131" t="s">
        <v>548</v>
      </c>
    </row>
    <row r="67" spans="1:6" ht="12.75" customHeight="1" x14ac:dyDescent="0.2">
      <c r="A67" t="str">
        <f t="shared" si="0"/>
        <v>Heidelberg Materials Midwest -COOPERS  2575  JEFFERSONVILLE, IN.  2575</v>
      </c>
      <c r="B67" s="134" t="s">
        <v>550</v>
      </c>
      <c r="C67" s="130">
        <v>2575</v>
      </c>
      <c r="D67" s="134">
        <v>2575</v>
      </c>
      <c r="E67" s="131" t="s">
        <v>551</v>
      </c>
      <c r="F67" s="131" t="s">
        <v>540</v>
      </c>
    </row>
    <row r="68" spans="1:6" ht="12.75" customHeight="1" x14ac:dyDescent="0.2">
      <c r="A68" t="str">
        <f t="shared" si="0"/>
        <v>Heidelberg Materials Midwest -HARDING ST.  2312  INDIANAPOLIS, IN.  2312</v>
      </c>
      <c r="B68" s="134" t="s">
        <v>529</v>
      </c>
      <c r="C68" s="130">
        <v>2312</v>
      </c>
      <c r="D68" s="134">
        <v>2312</v>
      </c>
      <c r="E68" s="131" t="s">
        <v>552</v>
      </c>
      <c r="F68" s="131" t="s">
        <v>553</v>
      </c>
    </row>
    <row r="69" spans="1:6" ht="12.75" customHeight="1" x14ac:dyDescent="0.2">
      <c r="A69" t="str">
        <f t="shared" si="0"/>
        <v>Heidelberg Materials Midwest -HARDING ST.  2409  INDIANAPOLIS, IN.  2312</v>
      </c>
      <c r="B69" s="134" t="s">
        <v>554</v>
      </c>
      <c r="C69" s="130">
        <v>2409</v>
      </c>
      <c r="D69" s="134">
        <v>2312</v>
      </c>
      <c r="E69" s="131" t="s">
        <v>552</v>
      </c>
      <c r="F69" s="131" t="s">
        <v>553</v>
      </c>
    </row>
    <row r="70" spans="1:6" ht="12.75" customHeight="1" x14ac:dyDescent="0.2">
      <c r="A70" t="str">
        <f t="shared" si="0"/>
        <v>Heidelberg Materials Midwest  2551  NORTH VERNON, IN.  2551</v>
      </c>
      <c r="B70" s="134" t="s">
        <v>555</v>
      </c>
      <c r="C70" s="130">
        <v>2551</v>
      </c>
      <c r="D70" s="134">
        <v>2551</v>
      </c>
      <c r="E70" s="131" t="s">
        <v>556</v>
      </c>
      <c r="F70" s="131" t="s">
        <v>557</v>
      </c>
    </row>
    <row r="71" spans="1:6" ht="12.75" customHeight="1" x14ac:dyDescent="0.2">
      <c r="A71" t="str">
        <f t="shared" si="0"/>
        <v>Heidelberg Materials Midwest  2552  VERSAILLES, IN.  2552</v>
      </c>
      <c r="B71" s="134" t="s">
        <v>558</v>
      </c>
      <c r="C71" s="130">
        <v>2552</v>
      </c>
      <c r="D71" s="134">
        <v>2552</v>
      </c>
      <c r="E71" s="131" t="s">
        <v>556</v>
      </c>
      <c r="F71" s="131" t="s">
        <v>559</v>
      </c>
    </row>
    <row r="72" spans="1:6" ht="12.75" customHeight="1" x14ac:dyDescent="0.2">
      <c r="A72" t="str">
        <f t="shared" si="0"/>
        <v>Heidelberg Materials Midwest  2556  HAYDEN, IN.  2556</v>
      </c>
      <c r="B72" s="134" t="s">
        <v>560</v>
      </c>
      <c r="C72" s="130">
        <v>2556</v>
      </c>
      <c r="D72" s="134">
        <v>2556</v>
      </c>
      <c r="E72" s="131" t="s">
        <v>556</v>
      </c>
      <c r="F72" s="131" t="s">
        <v>561</v>
      </c>
    </row>
    <row r="73" spans="1:6" ht="12.75" customHeight="1" x14ac:dyDescent="0.2">
      <c r="A73" t="str">
        <f t="shared" si="0"/>
        <v>Heidelberg Materials Midwest  2977  VERSAILLES, IN.  2552</v>
      </c>
      <c r="B73" s="134" t="s">
        <v>519</v>
      </c>
      <c r="C73" s="130">
        <v>2977</v>
      </c>
      <c r="D73" s="134">
        <v>2552</v>
      </c>
      <c r="E73" s="131" t="s">
        <v>556</v>
      </c>
      <c r="F73" s="131" t="s">
        <v>559</v>
      </c>
    </row>
    <row r="74" spans="1:6" ht="12.75" customHeight="1" x14ac:dyDescent="0.2">
      <c r="A74" t="str">
        <f t="shared" si="0"/>
        <v>Heidelberg Materials Midwest  2409  MONON, IN  2409</v>
      </c>
      <c r="B74" s="134" t="s">
        <v>554</v>
      </c>
      <c r="C74" s="130">
        <v>2409</v>
      </c>
      <c r="D74" s="134">
        <v>2409</v>
      </c>
      <c r="E74" s="131" t="s">
        <v>556</v>
      </c>
      <c r="F74" s="131" t="s">
        <v>562</v>
      </c>
    </row>
    <row r="75" spans="1:6" ht="12.75" customHeight="1" x14ac:dyDescent="0.2">
      <c r="A75" t="str">
        <f t="shared" si="0"/>
        <v>Heidelberg Materials Midwest  2440  FRANCESVILLE, IN.  2440</v>
      </c>
      <c r="B75" s="134" t="s">
        <v>563</v>
      </c>
      <c r="C75" s="130">
        <v>2440</v>
      </c>
      <c r="D75" s="134">
        <v>2440</v>
      </c>
      <c r="E75" s="131" t="s">
        <v>556</v>
      </c>
      <c r="F75" s="131" t="s">
        <v>564</v>
      </c>
    </row>
    <row r="76" spans="1:6" ht="12.75" customHeight="1" x14ac:dyDescent="0.2">
      <c r="A76" t="str">
        <f t="shared" ref="A76:A126" si="1">E76&amp;"  "&amp;C76&amp;"  "&amp;F76&amp;"  "&amp;D76</f>
        <v>Heidelberg Materials Midwest  2472  THORNTON, IL  2472</v>
      </c>
      <c r="B76" s="134" t="s">
        <v>565</v>
      </c>
      <c r="C76" s="130">
        <v>2472</v>
      </c>
      <c r="D76" s="134">
        <v>2472</v>
      </c>
      <c r="E76" s="131" t="s">
        <v>556</v>
      </c>
      <c r="F76" s="131" t="s">
        <v>566</v>
      </c>
    </row>
    <row r="77" spans="1:6" ht="12.75" customHeight="1" x14ac:dyDescent="0.2">
      <c r="A77" t="str">
        <f t="shared" si="1"/>
        <v>Heidelberg Materials Midwest  2973  THORNTON, IL  2472</v>
      </c>
      <c r="B77" s="134" t="s">
        <v>417</v>
      </c>
      <c r="C77" s="130">
        <v>2973</v>
      </c>
      <c r="D77" s="134">
        <v>2472</v>
      </c>
      <c r="E77" s="131" t="s">
        <v>556</v>
      </c>
      <c r="F77" s="131" t="s">
        <v>566</v>
      </c>
    </row>
    <row r="78" spans="1:6" ht="12.75" customHeight="1" x14ac:dyDescent="0.2">
      <c r="A78" t="str">
        <f t="shared" si="1"/>
        <v>HERITAGE AGGREGATE  2642  SPRINGVILLE, IN.  2642</v>
      </c>
      <c r="B78" s="134" t="s">
        <v>567</v>
      </c>
      <c r="C78" s="130">
        <v>2642</v>
      </c>
      <c r="D78" s="134">
        <v>2642</v>
      </c>
      <c r="E78" s="131" t="s">
        <v>568</v>
      </c>
      <c r="F78" s="131" t="s">
        <v>569</v>
      </c>
    </row>
    <row r="79" spans="1:6" ht="12.75" customHeight="1" x14ac:dyDescent="0.2">
      <c r="A79" t="str">
        <f t="shared" si="1"/>
        <v>IMI - NEW GREENWOOD  2792  GREENWOOD, IN  2792</v>
      </c>
      <c r="B79" s="134" t="s">
        <v>570</v>
      </c>
      <c r="C79" s="130">
        <v>2792</v>
      </c>
      <c r="D79" s="134">
        <v>2792</v>
      </c>
      <c r="E79" s="131" t="s">
        <v>571</v>
      </c>
      <c r="F79" s="131" t="s">
        <v>572</v>
      </c>
    </row>
    <row r="80" spans="1:6" ht="12.75" customHeight="1" x14ac:dyDescent="0.2">
      <c r="A80" t="str">
        <f t="shared" si="1"/>
        <v>IMI - NEW GREENWOOD  2792  GREENWOOD, IN  2792</v>
      </c>
      <c r="B80" s="134" t="s">
        <v>570</v>
      </c>
      <c r="C80" s="130">
        <v>2792</v>
      </c>
      <c r="D80" s="134">
        <v>2792</v>
      </c>
      <c r="E80" s="131" t="s">
        <v>571</v>
      </c>
      <c r="F80" s="131" t="s">
        <v>572</v>
      </c>
    </row>
    <row r="81" spans="1:6" ht="12.75" customHeight="1" x14ac:dyDescent="0.2">
      <c r="A81" t="str">
        <f t="shared" si="1"/>
        <v>INDIAN CREEK QUARRIES, LLC  2689  WILLIAMS, IN  2689</v>
      </c>
      <c r="B81" s="134" t="s">
        <v>573</v>
      </c>
      <c r="C81" s="130">
        <v>2689</v>
      </c>
      <c r="D81" s="134">
        <v>2689</v>
      </c>
      <c r="E81" s="131" t="s">
        <v>574</v>
      </c>
      <c r="F81" s="131" t="s">
        <v>575</v>
      </c>
    </row>
    <row r="82" spans="1:6" ht="12.75" customHeight="1" x14ac:dyDescent="0.2">
      <c r="A82" t="str">
        <f t="shared" si="1"/>
        <v>INTERSTATE SAND AND GRAVEL CO.  2164  WILLAMSPORT, IN  2164</v>
      </c>
      <c r="B82" s="134" t="s">
        <v>576</v>
      </c>
      <c r="C82" s="130">
        <v>2164</v>
      </c>
      <c r="D82" s="134">
        <v>2164</v>
      </c>
      <c r="E82" s="131" t="s">
        <v>577</v>
      </c>
      <c r="F82" s="131" t="s">
        <v>578</v>
      </c>
    </row>
    <row r="83" spans="1:6" ht="12.75" customHeight="1" x14ac:dyDescent="0.2">
      <c r="A83" t="str">
        <f t="shared" si="1"/>
        <v>INTERSTATE SAND AND GRAVEL CO.  2445  WILLAMSPORT, IN  2164</v>
      </c>
      <c r="B83" s="134" t="s">
        <v>579</v>
      </c>
      <c r="C83" s="130">
        <v>2445</v>
      </c>
      <c r="D83" s="134">
        <v>2164</v>
      </c>
      <c r="E83" s="131" t="s">
        <v>577</v>
      </c>
      <c r="F83" s="131" t="s">
        <v>578</v>
      </c>
    </row>
    <row r="84" spans="1:6" ht="12.75" customHeight="1" x14ac:dyDescent="0.2">
      <c r="A84" t="str">
        <f t="shared" si="1"/>
        <v>IRVING BROTHERS GRAVEL CO.  2341  GAS CITY, IN.  2341</v>
      </c>
      <c r="B84" s="134" t="s">
        <v>580</v>
      </c>
      <c r="C84" s="130">
        <v>2341</v>
      </c>
      <c r="D84" s="134">
        <v>2341</v>
      </c>
      <c r="E84" s="131" t="s">
        <v>581</v>
      </c>
      <c r="F84" s="131" t="s">
        <v>582</v>
      </c>
    </row>
    <row r="85" spans="1:6" ht="12.75" customHeight="1" x14ac:dyDescent="0.2">
      <c r="A85" t="str">
        <f t="shared" si="1"/>
        <v>IRVING MATERIALS - FALL CREEK  0063  FORTVILLE, IN  0063</v>
      </c>
      <c r="B85" s="134" t="s">
        <v>583</v>
      </c>
      <c r="C85" s="132" t="s">
        <v>584</v>
      </c>
      <c r="D85" s="135" t="s">
        <v>584</v>
      </c>
      <c r="E85" s="131" t="s">
        <v>585</v>
      </c>
      <c r="F85" s="131" t="s">
        <v>586</v>
      </c>
    </row>
    <row r="86" spans="1:6" ht="12.75" customHeight="1" x14ac:dyDescent="0.2">
      <c r="A86" t="str">
        <f t="shared" si="1"/>
        <v>IRVING MATERIALS INC  2362  MUNCIE, IN.  2362</v>
      </c>
      <c r="B86" s="134" t="s">
        <v>587</v>
      </c>
      <c r="C86" s="130">
        <v>2362</v>
      </c>
      <c r="D86" s="134">
        <v>2362</v>
      </c>
      <c r="E86" s="131" t="s">
        <v>588</v>
      </c>
      <c r="F86" s="131" t="s">
        <v>589</v>
      </c>
    </row>
    <row r="87" spans="1:6" ht="12.75" customHeight="1" x14ac:dyDescent="0.2">
      <c r="A87" t="str">
        <f t="shared" si="1"/>
        <v>IRVING MATERIALS INC  2561  BROWNSTOWN, IN.  2561</v>
      </c>
      <c r="B87" s="134" t="s">
        <v>590</v>
      </c>
      <c r="C87" s="130">
        <v>2561</v>
      </c>
      <c r="D87" s="134">
        <v>2561</v>
      </c>
      <c r="E87" s="131" t="s">
        <v>588</v>
      </c>
      <c r="F87" s="131" t="s">
        <v>591</v>
      </c>
    </row>
    <row r="88" spans="1:6" ht="12.75" customHeight="1" x14ac:dyDescent="0.2">
      <c r="A88" t="str">
        <f t="shared" si="1"/>
        <v>IRVING MATERIALS INC.-STONEY CREEK  2359  NOBLESVILLE, IN.  2359</v>
      </c>
      <c r="B88" s="134" t="s">
        <v>592</v>
      </c>
      <c r="C88" s="130">
        <v>2359</v>
      </c>
      <c r="D88" s="134">
        <v>2359</v>
      </c>
      <c r="E88" s="131" t="s">
        <v>593</v>
      </c>
      <c r="F88" s="131" t="s">
        <v>427</v>
      </c>
    </row>
    <row r="89" spans="1:6" ht="12.75" customHeight="1" x14ac:dyDescent="0.2">
      <c r="A89" t="str">
        <f t="shared" si="1"/>
        <v>IRVING MATERIALS, INC  2211  HUNTINGTON, IN.  2211</v>
      </c>
      <c r="B89" s="134" t="s">
        <v>594</v>
      </c>
      <c r="C89" s="130">
        <v>2211</v>
      </c>
      <c r="D89" s="134">
        <v>2211</v>
      </c>
      <c r="E89" s="131" t="s">
        <v>595</v>
      </c>
      <c r="F89" s="131" t="s">
        <v>596</v>
      </c>
    </row>
    <row r="90" spans="1:6" ht="12.75" customHeight="1" x14ac:dyDescent="0.2">
      <c r="A90" t="str">
        <f t="shared" si="1"/>
        <v>IRVING MATERIALS, INC  2254  HUNTINGTON, IN.  2211</v>
      </c>
      <c r="B90" s="134" t="s">
        <v>597</v>
      </c>
      <c r="C90" s="130">
        <v>2254</v>
      </c>
      <c r="D90" s="134">
        <v>2211</v>
      </c>
      <c r="E90" s="131" t="s">
        <v>595</v>
      </c>
      <c r="F90" s="131" t="s">
        <v>596</v>
      </c>
    </row>
    <row r="91" spans="1:6" ht="12.75" customHeight="1" x14ac:dyDescent="0.2">
      <c r="A91" t="str">
        <f t="shared" si="1"/>
        <v>IRVING MATERIALS, INC.  2254  PERU, IN.  2254</v>
      </c>
      <c r="B91" s="134" t="s">
        <v>597</v>
      </c>
      <c r="C91" s="130">
        <v>2254</v>
      </c>
      <c r="D91" s="134">
        <v>2254</v>
      </c>
      <c r="E91" s="131" t="s">
        <v>598</v>
      </c>
      <c r="F91" s="131" t="s">
        <v>599</v>
      </c>
    </row>
    <row r="92" spans="1:6" ht="12.75" customHeight="1" x14ac:dyDescent="0.2">
      <c r="A92" t="str">
        <f t="shared" si="1"/>
        <v>IRVING MATERIALS, INC.  2254  PERU, IN.  2254</v>
      </c>
      <c r="B92" s="134" t="s">
        <v>597</v>
      </c>
      <c r="C92" s="130">
        <v>2254</v>
      </c>
      <c r="D92" s="134">
        <v>2254</v>
      </c>
      <c r="E92" s="131" t="s">
        <v>598</v>
      </c>
      <c r="F92" s="131" t="s">
        <v>599</v>
      </c>
    </row>
    <row r="93" spans="1:6" ht="15" customHeight="1" x14ac:dyDescent="0.2">
      <c r="A93" t="str">
        <f t="shared" si="1"/>
        <v>IRVING MATERIALS, INC.  2254  PLYMOUTH, IN.  2431</v>
      </c>
      <c r="B93" s="134" t="s">
        <v>597</v>
      </c>
      <c r="C93" s="130">
        <v>2254</v>
      </c>
      <c r="D93" s="134">
        <v>2431</v>
      </c>
      <c r="E93" s="131" t="s">
        <v>598</v>
      </c>
      <c r="F93" s="131" t="s">
        <v>600</v>
      </c>
    </row>
    <row r="94" spans="1:6" ht="12.75" customHeight="1" x14ac:dyDescent="0.2">
      <c r="A94" t="str">
        <f t="shared" si="1"/>
        <v>IRVING MATERIALS, INC.  2254  SWAYZEE, IN.  2355</v>
      </c>
      <c r="B94" s="134" t="s">
        <v>597</v>
      </c>
      <c r="C94" s="130">
        <v>2254</v>
      </c>
      <c r="D94" s="134">
        <v>2355</v>
      </c>
      <c r="E94" s="131" t="s">
        <v>598</v>
      </c>
      <c r="F94" s="131" t="s">
        <v>601</v>
      </c>
    </row>
    <row r="95" spans="1:6" ht="15" customHeight="1" x14ac:dyDescent="0.2">
      <c r="A95" t="str">
        <f t="shared" si="1"/>
        <v>IRVING MATERIALS, INC.  2262  BLUFFTON, IN.  2262</v>
      </c>
      <c r="B95" s="134" t="s">
        <v>602</v>
      </c>
      <c r="C95" s="130">
        <v>2262</v>
      </c>
      <c r="D95" s="134">
        <v>2262</v>
      </c>
      <c r="E95" s="131" t="s">
        <v>598</v>
      </c>
      <c r="F95" s="131" t="s">
        <v>603</v>
      </c>
    </row>
    <row r="96" spans="1:6" ht="12.75" customHeight="1" x14ac:dyDescent="0.2">
      <c r="A96" t="str">
        <f t="shared" si="1"/>
        <v>IRVING MATERIALS, INC.  2306  ANDERSON, IN  2306</v>
      </c>
      <c r="B96" s="134" t="s">
        <v>604</v>
      </c>
      <c r="C96" s="130">
        <v>2306</v>
      </c>
      <c r="D96" s="134">
        <v>2306</v>
      </c>
      <c r="E96" s="131" t="s">
        <v>598</v>
      </c>
      <c r="F96" s="131" t="s">
        <v>605</v>
      </c>
    </row>
    <row r="97" spans="1:6" ht="15" customHeight="1" x14ac:dyDescent="0.2">
      <c r="A97" t="str">
        <f t="shared" si="1"/>
        <v>IRVING MATERIALS, INC.  2324  MC CORDSVILLE, IN.  2324</v>
      </c>
      <c r="B97" s="134" t="s">
        <v>606</v>
      </c>
      <c r="C97" s="130">
        <v>2324</v>
      </c>
      <c r="D97" s="134">
        <v>2324</v>
      </c>
      <c r="E97" s="131" t="s">
        <v>598</v>
      </c>
      <c r="F97" s="131" t="s">
        <v>607</v>
      </c>
    </row>
    <row r="98" spans="1:6" ht="12.75" customHeight="1" x14ac:dyDescent="0.2">
      <c r="A98" t="str">
        <f t="shared" si="1"/>
        <v>IRVING MATERIALS, INC.  2333  CAMBRIDGE CITY, IN.  2333</v>
      </c>
      <c r="B98" s="134" t="s">
        <v>608</v>
      </c>
      <c r="C98" s="130">
        <v>2333</v>
      </c>
      <c r="D98" s="134">
        <v>2333</v>
      </c>
      <c r="E98" s="131" t="s">
        <v>598</v>
      </c>
      <c r="F98" s="131" t="s">
        <v>609</v>
      </c>
    </row>
    <row r="99" spans="1:6" ht="15" customHeight="1" x14ac:dyDescent="0.2">
      <c r="A99" t="str">
        <f t="shared" si="1"/>
        <v>IRVING MATERIALS, INC.  2338  CONNERSVILLE, IN.  2338</v>
      </c>
      <c r="B99" s="134" t="s">
        <v>610</v>
      </c>
      <c r="C99" s="130">
        <v>2338</v>
      </c>
      <c r="D99" s="134">
        <v>2338</v>
      </c>
      <c r="E99" s="131" t="s">
        <v>598</v>
      </c>
      <c r="F99" s="131" t="s">
        <v>611</v>
      </c>
    </row>
    <row r="100" spans="1:6" ht="12.75" customHeight="1" x14ac:dyDescent="0.2">
      <c r="A100" t="str">
        <f t="shared" si="1"/>
        <v>IRVING MATERIALS, INC.  2347  NEW CASTLE, IN  2347</v>
      </c>
      <c r="B100" s="134" t="s">
        <v>612</v>
      </c>
      <c r="C100" s="130">
        <v>2347</v>
      </c>
      <c r="D100" s="134">
        <v>2347</v>
      </c>
      <c r="E100" s="131" t="s">
        <v>598</v>
      </c>
      <c r="F100" s="131" t="s">
        <v>613</v>
      </c>
    </row>
    <row r="101" spans="1:6" ht="12.75" customHeight="1" x14ac:dyDescent="0.2">
      <c r="A101" t="str">
        <f t="shared" si="1"/>
        <v>IRVING MATERIALS, INC.  2348  PENDLETON, IN.  2348</v>
      </c>
      <c r="B101" s="134" t="s">
        <v>614</v>
      </c>
      <c r="C101" s="130">
        <v>2348</v>
      </c>
      <c r="D101" s="134">
        <v>2348</v>
      </c>
      <c r="E101" s="131" t="s">
        <v>598</v>
      </c>
      <c r="F101" s="131" t="s">
        <v>615</v>
      </c>
    </row>
    <row r="102" spans="1:6" ht="15" customHeight="1" x14ac:dyDescent="0.2">
      <c r="A102" t="str">
        <f t="shared" si="1"/>
        <v>IRVING MATERIALS, INC.  2355  SWAYZEE, IN.  2355</v>
      </c>
      <c r="B102" s="134" t="s">
        <v>616</v>
      </c>
      <c r="C102" s="130">
        <v>2355</v>
      </c>
      <c r="D102" s="134">
        <v>2355</v>
      </c>
      <c r="E102" s="131" t="s">
        <v>598</v>
      </c>
      <c r="F102" s="131" t="s">
        <v>601</v>
      </c>
    </row>
    <row r="103" spans="1:6" ht="15" customHeight="1" x14ac:dyDescent="0.2">
      <c r="A103" t="str">
        <f t="shared" si="1"/>
        <v>IRVING MATERIALS, INC.  2362  NEW CASTLE, IN  2347</v>
      </c>
      <c r="B103" s="134" t="s">
        <v>587</v>
      </c>
      <c r="C103" s="130">
        <v>2362</v>
      </c>
      <c r="D103" s="134">
        <v>2347</v>
      </c>
      <c r="E103" s="131" t="s">
        <v>598</v>
      </c>
      <c r="F103" s="131" t="s">
        <v>613</v>
      </c>
    </row>
    <row r="104" spans="1:6" ht="12.75" customHeight="1" x14ac:dyDescent="0.2">
      <c r="A104" t="str">
        <f t="shared" si="1"/>
        <v>IRVING MATERIALS, INC.  2367  MONTPELIER, IN.  2367</v>
      </c>
      <c r="B104" s="134" t="s">
        <v>617</v>
      </c>
      <c r="C104" s="130">
        <v>2367</v>
      </c>
      <c r="D104" s="134">
        <v>2367</v>
      </c>
      <c r="E104" s="131" t="s">
        <v>598</v>
      </c>
      <c r="F104" s="131" t="s">
        <v>618</v>
      </c>
    </row>
    <row r="105" spans="1:6" ht="15" customHeight="1" x14ac:dyDescent="0.2">
      <c r="A105" t="str">
        <f t="shared" si="1"/>
        <v>IRVING MATERIALS, INC.  2431  PERU, IN.  2254</v>
      </c>
      <c r="B105" s="134" t="s">
        <v>619</v>
      </c>
      <c r="C105" s="130">
        <v>2431</v>
      </c>
      <c r="D105" s="134">
        <v>2254</v>
      </c>
      <c r="E105" s="131" t="s">
        <v>598</v>
      </c>
      <c r="F105" s="131" t="s">
        <v>599</v>
      </c>
    </row>
    <row r="106" spans="1:6" ht="12.75" customHeight="1" x14ac:dyDescent="0.2">
      <c r="A106" t="str">
        <f t="shared" si="1"/>
        <v>IRVING MATERIALS, INC.  2431  PERU, IN.  2254</v>
      </c>
      <c r="B106" s="134" t="s">
        <v>619</v>
      </c>
      <c r="C106" s="130">
        <v>2431</v>
      </c>
      <c r="D106" s="134">
        <v>2254</v>
      </c>
      <c r="E106" s="131" t="s">
        <v>598</v>
      </c>
      <c r="F106" s="131" t="s">
        <v>599</v>
      </c>
    </row>
    <row r="107" spans="1:6" ht="15" customHeight="1" x14ac:dyDescent="0.2">
      <c r="A107" t="str">
        <f t="shared" si="1"/>
        <v>IRVING MATERIALS, INC.  2431  PLYMOUTH, IN.  2431</v>
      </c>
      <c r="B107" s="134" t="s">
        <v>619</v>
      </c>
      <c r="C107" s="130">
        <v>2431</v>
      </c>
      <c r="D107" s="134">
        <v>2431</v>
      </c>
      <c r="E107" s="131" t="s">
        <v>598</v>
      </c>
      <c r="F107" s="131" t="s">
        <v>600</v>
      </c>
    </row>
    <row r="108" spans="1:6" ht="12.75" customHeight="1" x14ac:dyDescent="0.2">
      <c r="A108" t="str">
        <f t="shared" si="1"/>
        <v>IRVING MATERIALS, INC.  2431  PLYMOUTH, IN.  2431</v>
      </c>
      <c r="B108" s="134" t="s">
        <v>619</v>
      </c>
      <c r="C108" s="130">
        <v>2431</v>
      </c>
      <c r="D108" s="134">
        <v>2431</v>
      </c>
      <c r="E108" s="131" t="s">
        <v>598</v>
      </c>
      <c r="F108" s="131" t="s">
        <v>600</v>
      </c>
    </row>
    <row r="109" spans="1:6" ht="15" customHeight="1" x14ac:dyDescent="0.2">
      <c r="A109" t="str">
        <f t="shared" si="1"/>
        <v>IRVING MATERIALS, INC.  2431  PLYMOUTH, IN.  2431</v>
      </c>
      <c r="B109" s="134" t="s">
        <v>619</v>
      </c>
      <c r="C109" s="130">
        <v>2431</v>
      </c>
      <c r="D109" s="134">
        <v>2431</v>
      </c>
      <c r="E109" s="131" t="s">
        <v>598</v>
      </c>
      <c r="F109" s="131" t="s">
        <v>600</v>
      </c>
    </row>
    <row r="110" spans="1:6" ht="12.75" customHeight="1" x14ac:dyDescent="0.2">
      <c r="A110" t="str">
        <f t="shared" si="1"/>
        <v>IRVING MATERIALS, INC.  2498  BLUFFTON, IN.  2262</v>
      </c>
      <c r="B110" s="134" t="s">
        <v>620</v>
      </c>
      <c r="C110" s="130">
        <v>2498</v>
      </c>
      <c r="D110" s="134">
        <v>2262</v>
      </c>
      <c r="E110" s="131" t="s">
        <v>598</v>
      </c>
      <c r="F110" s="131" t="s">
        <v>603</v>
      </c>
    </row>
    <row r="111" spans="1:6" ht="15" customHeight="1" x14ac:dyDescent="0.2">
      <c r="A111" t="str">
        <f t="shared" si="1"/>
        <v>IRVING MATERIALS, INC.  2542  SELLERSBURG, IN.  2542</v>
      </c>
      <c r="B111" s="134" t="s">
        <v>621</v>
      </c>
      <c r="C111" s="130">
        <v>2542</v>
      </c>
      <c r="D111" s="134">
        <v>2542</v>
      </c>
      <c r="E111" s="131" t="s">
        <v>598</v>
      </c>
      <c r="F111" s="131" t="s">
        <v>622</v>
      </c>
    </row>
    <row r="112" spans="1:6" ht="12.75" customHeight="1" x14ac:dyDescent="0.2">
      <c r="A112" t="str">
        <f t="shared" si="1"/>
        <v>IRVING MATERIALS, INC.  2570  WALESBORO, IN  2570</v>
      </c>
      <c r="B112" s="134" t="s">
        <v>623</v>
      </c>
      <c r="C112" s="130">
        <v>2570</v>
      </c>
      <c r="D112" s="134">
        <v>2570</v>
      </c>
      <c r="E112" s="131" t="s">
        <v>598</v>
      </c>
      <c r="F112" s="131" t="s">
        <v>624</v>
      </c>
    </row>
    <row r="113" spans="1:6" ht="15" customHeight="1" x14ac:dyDescent="0.2">
      <c r="A113" t="str">
        <f t="shared" si="1"/>
        <v>IRVING MATERIALS, INC.  2572  CORYDON, IN.  2572</v>
      </c>
      <c r="B113" s="134" t="s">
        <v>625</v>
      </c>
      <c r="C113" s="130">
        <v>2572</v>
      </c>
      <c r="D113" s="134">
        <v>2572</v>
      </c>
      <c r="E113" s="131" t="s">
        <v>598</v>
      </c>
      <c r="F113" s="131" t="s">
        <v>626</v>
      </c>
    </row>
    <row r="114" spans="1:6" ht="15" customHeight="1" x14ac:dyDescent="0.2">
      <c r="A114" t="str">
        <f t="shared" si="1"/>
        <v>IRVING MATERIALS, INC.  2977  SELLERSBURG, IN.  2542</v>
      </c>
      <c r="B114" s="134" t="s">
        <v>519</v>
      </c>
      <c r="C114" s="130">
        <v>2977</v>
      </c>
      <c r="D114" s="134">
        <v>2542</v>
      </c>
      <c r="E114" s="131" t="s">
        <v>598</v>
      </c>
      <c r="F114" s="131" t="s">
        <v>622</v>
      </c>
    </row>
    <row r="115" spans="1:6" ht="15" customHeight="1" x14ac:dyDescent="0.2">
      <c r="A115" t="str">
        <f t="shared" si="1"/>
        <v>IRVING MATERIALS, INC.-UPLAND  0124  MUNCIE, IN.  0124</v>
      </c>
      <c r="B115" s="134" t="s">
        <v>627</v>
      </c>
      <c r="C115" s="130" t="s">
        <v>628</v>
      </c>
      <c r="D115" s="134" t="s">
        <v>628</v>
      </c>
      <c r="E115" s="131" t="s">
        <v>629</v>
      </c>
      <c r="F115" s="131" t="s">
        <v>589</v>
      </c>
    </row>
    <row r="116" spans="1:6" ht="15" customHeight="1" x14ac:dyDescent="0.2">
      <c r="A116" t="str">
        <f t="shared" si="1"/>
        <v>JOHNSON CONSTRUCTION MATERIALS  2784  NEW WASHINGTON, IN  2784</v>
      </c>
      <c r="B116" s="134" t="s">
        <v>630</v>
      </c>
      <c r="C116" s="130">
        <v>2784</v>
      </c>
      <c r="D116" s="134">
        <v>2784</v>
      </c>
      <c r="E116" s="131" t="s">
        <v>631</v>
      </c>
      <c r="F116" s="131" t="s">
        <v>632</v>
      </c>
    </row>
    <row r="117" spans="1:6" ht="15" customHeight="1" x14ac:dyDescent="0.2">
      <c r="A117" t="str">
        <f t="shared" si="1"/>
        <v>JONES AND SONS - STAR POINT  2641  VINCENNES, IN  2686</v>
      </c>
      <c r="B117" s="134" t="s">
        <v>451</v>
      </c>
      <c r="C117" s="130">
        <v>2641</v>
      </c>
      <c r="D117" s="134">
        <v>2686</v>
      </c>
      <c r="E117" s="131" t="s">
        <v>633</v>
      </c>
      <c r="F117" s="131" t="s">
        <v>634</v>
      </c>
    </row>
    <row r="118" spans="1:6" ht="15" customHeight="1" x14ac:dyDescent="0.2">
      <c r="A118" t="str">
        <f t="shared" si="1"/>
        <v>JONES AND SONS - STAR POINT  2686  VINCENNES, IN  2686</v>
      </c>
      <c r="B118" s="134" t="s">
        <v>635</v>
      </c>
      <c r="C118" s="130">
        <v>2686</v>
      </c>
      <c r="D118" s="134">
        <v>2686</v>
      </c>
      <c r="E118" s="131" t="s">
        <v>633</v>
      </c>
      <c r="F118" s="131" t="s">
        <v>634</v>
      </c>
    </row>
    <row r="119" spans="1:6" ht="15" customHeight="1" x14ac:dyDescent="0.2">
      <c r="A119" t="str">
        <f t="shared" si="1"/>
        <v>KNOX COUNTY SAND AND GRAVEL  2651  VINCENNES, IN.  2651</v>
      </c>
      <c r="B119" s="134" t="s">
        <v>636</v>
      </c>
      <c r="C119" s="130">
        <v>2651</v>
      </c>
      <c r="D119" s="134">
        <v>2651</v>
      </c>
      <c r="E119" s="131" t="s">
        <v>637</v>
      </c>
      <c r="F119" s="131" t="s">
        <v>638</v>
      </c>
    </row>
    <row r="120" spans="1:6" ht="15" customHeight="1" x14ac:dyDescent="0.2">
      <c r="A120" t="str">
        <f t="shared" si="1"/>
        <v>KOKOMO GRAVEL, INC.  2794  PERU, IN  2794</v>
      </c>
      <c r="B120" s="134" t="s">
        <v>639</v>
      </c>
      <c r="C120" s="130">
        <v>2794</v>
      </c>
      <c r="D120" s="134">
        <v>2794</v>
      </c>
      <c r="E120" s="131" t="s">
        <v>640</v>
      </c>
      <c r="F120" s="131" t="s">
        <v>641</v>
      </c>
    </row>
    <row r="121" spans="1:6" ht="15" customHeight="1" x14ac:dyDescent="0.2">
      <c r="A121" t="str">
        <f t="shared" si="1"/>
        <v>LANDMARK MATERIALS, LLC  0106  WALKERTON, IN  0106</v>
      </c>
      <c r="B121" s="134" t="s">
        <v>642</v>
      </c>
      <c r="C121" s="132" t="s">
        <v>643</v>
      </c>
      <c r="D121" s="135" t="s">
        <v>643</v>
      </c>
      <c r="E121" s="131" t="s">
        <v>644</v>
      </c>
      <c r="F121" s="131" t="s">
        <v>645</v>
      </c>
    </row>
    <row r="122" spans="1:6" ht="15" customHeight="1" x14ac:dyDescent="0.2">
      <c r="A122" t="str">
        <f t="shared" si="1"/>
        <v>LEESBURG SAND AND GRAVEL  2217  LEESBURG, IN.  2217</v>
      </c>
      <c r="B122" s="134" t="s">
        <v>535</v>
      </c>
      <c r="C122" s="130">
        <v>2217</v>
      </c>
      <c r="D122" s="134">
        <v>2217</v>
      </c>
      <c r="E122" s="131" t="s">
        <v>646</v>
      </c>
      <c r="F122" s="131" t="s">
        <v>647</v>
      </c>
    </row>
    <row r="123" spans="1:6" ht="15" customHeight="1" x14ac:dyDescent="0.2">
      <c r="A123" t="str">
        <f t="shared" si="1"/>
        <v>LINCOLN PARK STONE  2113  PUTNAMVILLE, IN  2180</v>
      </c>
      <c r="B123" s="134" t="s">
        <v>648</v>
      </c>
      <c r="C123" s="130">
        <v>2113</v>
      </c>
      <c r="D123" s="134">
        <v>2180</v>
      </c>
      <c r="E123" s="131" t="s">
        <v>649</v>
      </c>
      <c r="F123" s="131" t="s">
        <v>526</v>
      </c>
    </row>
    <row r="124" spans="1:6" ht="15" customHeight="1" x14ac:dyDescent="0.2">
      <c r="A124" t="str">
        <f t="shared" si="1"/>
        <v>LINCOLN PARK STONE  2163  PUTNAMVILLE, IN  2180</v>
      </c>
      <c r="B124" s="134" t="s">
        <v>650</v>
      </c>
      <c r="C124" s="130">
        <v>2163</v>
      </c>
      <c r="D124" s="134">
        <v>2180</v>
      </c>
      <c r="E124" s="131" t="s">
        <v>649</v>
      </c>
      <c r="F124" s="131" t="s">
        <v>526</v>
      </c>
    </row>
    <row r="125" spans="1:6" ht="15" customHeight="1" x14ac:dyDescent="0.2">
      <c r="A125" t="str">
        <f t="shared" si="1"/>
        <v>LINCOLN PARK STONE  2180  PUTNAMVILLE, IN  2180</v>
      </c>
      <c r="B125" s="134" t="s">
        <v>651</v>
      </c>
      <c r="C125" s="130">
        <v>2180</v>
      </c>
      <c r="D125" s="134">
        <v>2180</v>
      </c>
      <c r="E125" s="131" t="s">
        <v>649</v>
      </c>
      <c r="F125" s="131" t="s">
        <v>526</v>
      </c>
    </row>
    <row r="126" spans="1:6" ht="15" customHeight="1" x14ac:dyDescent="0.2">
      <c r="A126" t="str">
        <f t="shared" si="1"/>
        <v>LINCOLN PARK STONE  2793  GOSPORT, IN  2793</v>
      </c>
      <c r="B126" s="134" t="s">
        <v>652</v>
      </c>
      <c r="C126" s="130">
        <v>2793</v>
      </c>
      <c r="D126" s="134">
        <v>2793</v>
      </c>
      <c r="E126" s="131" t="s">
        <v>649</v>
      </c>
      <c r="F126" s="131" t="s">
        <v>653</v>
      </c>
    </row>
    <row r="127" spans="1:6" ht="12.75" customHeight="1" x14ac:dyDescent="0.2">
      <c r="A127" t="str">
        <f t="shared" ref="A127:A190" si="2">E127&amp;"  "&amp;C127&amp;"  "&amp;F127&amp;"  "&amp;D127</f>
        <v>LITER'S QUARRY   2569  LOCKPORT, KY  2569</v>
      </c>
      <c r="B127" s="134" t="s">
        <v>654</v>
      </c>
      <c r="C127" s="130">
        <v>2569</v>
      </c>
      <c r="D127" s="134">
        <v>2569</v>
      </c>
      <c r="E127" s="131" t="s">
        <v>655</v>
      </c>
      <c r="F127" s="131" t="s">
        <v>656</v>
      </c>
    </row>
    <row r="128" spans="1:6" ht="12.75" customHeight="1" x14ac:dyDescent="0.2">
      <c r="A128" t="str">
        <f t="shared" si="2"/>
        <v>M &amp; H PRODUCTS  0128  GHENT, KY  0128</v>
      </c>
      <c r="B128" s="134" t="s">
        <v>657</v>
      </c>
      <c r="C128" s="132" t="s">
        <v>658</v>
      </c>
      <c r="D128" s="135" t="s">
        <v>658</v>
      </c>
      <c r="E128" s="131" t="s">
        <v>659</v>
      </c>
      <c r="F128" s="131" t="s">
        <v>521</v>
      </c>
    </row>
    <row r="129" spans="1:6" ht="12.75" customHeight="1" x14ac:dyDescent="0.2">
      <c r="A129" t="str">
        <f t="shared" si="2"/>
        <v>MARTIN MARIETTA   2157  CLOVERDALE, IN.  2157</v>
      </c>
      <c r="B129" s="134" t="s">
        <v>660</v>
      </c>
      <c r="C129" s="130">
        <v>2157</v>
      </c>
      <c r="D129" s="134">
        <v>2157</v>
      </c>
      <c r="E129" s="131" t="s">
        <v>661</v>
      </c>
      <c r="F129" s="131" t="s">
        <v>662</v>
      </c>
    </row>
    <row r="130" spans="1:6" ht="12.75" customHeight="1" x14ac:dyDescent="0.2">
      <c r="A130" t="str">
        <f t="shared" si="2"/>
        <v>MARTIN MARIETTA   2519  ROSS, OH.  2519</v>
      </c>
      <c r="B130" s="134" t="s">
        <v>663</v>
      </c>
      <c r="C130" s="130">
        <v>2519</v>
      </c>
      <c r="D130" s="134">
        <v>2519</v>
      </c>
      <c r="E130" s="131" t="s">
        <v>661</v>
      </c>
      <c r="F130" s="131" t="s">
        <v>664</v>
      </c>
    </row>
    <row r="131" spans="1:6" ht="12.75" customHeight="1" x14ac:dyDescent="0.2">
      <c r="A131" t="str">
        <f t="shared" si="2"/>
        <v>MARTIN MARIETTA  2314  NOBLESVILLE, IN  2389</v>
      </c>
      <c r="B131" s="134" t="s">
        <v>665</v>
      </c>
      <c r="C131" s="130">
        <v>2314</v>
      </c>
      <c r="D131" s="134">
        <v>2389</v>
      </c>
      <c r="E131" s="131" t="s">
        <v>666</v>
      </c>
      <c r="F131" s="131" t="s">
        <v>667</v>
      </c>
    </row>
    <row r="132" spans="1:6" ht="12.75" customHeight="1" x14ac:dyDescent="0.2">
      <c r="A132" t="str">
        <f t="shared" si="2"/>
        <v>MARTIN MARIETTA  2353  KOKOMO, IN.  2353</v>
      </c>
      <c r="B132" s="134" t="s">
        <v>668</v>
      </c>
      <c r="C132" s="130">
        <v>2353</v>
      </c>
      <c r="D132" s="134">
        <v>2353</v>
      </c>
      <c r="E132" s="131" t="s">
        <v>666</v>
      </c>
      <c r="F132" s="131" t="s">
        <v>469</v>
      </c>
    </row>
    <row r="133" spans="1:6" ht="12.75" customHeight="1" x14ac:dyDescent="0.2">
      <c r="A133" t="str">
        <f t="shared" si="2"/>
        <v>MARTIN MARIETTA  2389  NOBLESVILLE, IN  2389</v>
      </c>
      <c r="B133" s="134" t="s">
        <v>669</v>
      </c>
      <c r="C133" s="130">
        <v>2389</v>
      </c>
      <c r="D133" s="134">
        <v>2389</v>
      </c>
      <c r="E133" s="131" t="s">
        <v>666</v>
      </c>
      <c r="F133" s="131" t="s">
        <v>667</v>
      </c>
    </row>
    <row r="134" spans="1:6" ht="12.75" customHeight="1" x14ac:dyDescent="0.2">
      <c r="A134" t="str">
        <f t="shared" si="2"/>
        <v>MARTIN MARIETTA  2522  WAVERLY, IN.  2522</v>
      </c>
      <c r="B134" s="134" t="s">
        <v>670</v>
      </c>
      <c r="C134" s="130">
        <v>2522</v>
      </c>
      <c r="D134" s="134">
        <v>2522</v>
      </c>
      <c r="E134" s="131" t="s">
        <v>666</v>
      </c>
      <c r="F134" s="131" t="s">
        <v>671</v>
      </c>
    </row>
    <row r="135" spans="1:6" ht="12.75" customHeight="1" x14ac:dyDescent="0.2">
      <c r="A135" t="str">
        <f t="shared" si="2"/>
        <v>MARTIN MARIETTA  2762  RUSSIAVILLE, IN  2762</v>
      </c>
      <c r="B135" s="134" t="s">
        <v>672</v>
      </c>
      <c r="C135" s="130">
        <v>2762</v>
      </c>
      <c r="D135" s="134">
        <v>2762</v>
      </c>
      <c r="E135" s="131" t="s">
        <v>666</v>
      </c>
      <c r="F135" s="131" t="s">
        <v>673</v>
      </c>
    </row>
    <row r="136" spans="1:6" ht="12.75" customHeight="1" x14ac:dyDescent="0.2">
      <c r="A136" t="str">
        <f t="shared" si="2"/>
        <v>MARTIN MARIETTA - 96TH STREET  2311  INDIANAPOLIS, IN.  2311</v>
      </c>
      <c r="B136" s="134" t="s">
        <v>674</v>
      </c>
      <c r="C136" s="130">
        <v>2311</v>
      </c>
      <c r="D136" s="134">
        <v>2311</v>
      </c>
      <c r="E136" s="131" t="s">
        <v>675</v>
      </c>
      <c r="F136" s="131" t="s">
        <v>553</v>
      </c>
    </row>
    <row r="137" spans="1:6" ht="12.75" customHeight="1" x14ac:dyDescent="0.2">
      <c r="A137" t="str">
        <f t="shared" si="2"/>
        <v>MARTIN MARIETTA - JOHNSON COUNTY NATURAL SAND  2985  GREENWORD IN.   2985</v>
      </c>
      <c r="B137" s="134" t="s">
        <v>676</v>
      </c>
      <c r="C137" s="130" t="s">
        <v>677</v>
      </c>
      <c r="D137" s="134" t="s">
        <v>677</v>
      </c>
      <c r="E137" s="131" t="s">
        <v>678</v>
      </c>
      <c r="F137" s="131" t="s">
        <v>679</v>
      </c>
    </row>
    <row r="138" spans="1:6" ht="12.75" customHeight="1" x14ac:dyDescent="0.2">
      <c r="A138" t="str">
        <f t="shared" si="2"/>
        <v>MARTIN MARIETTA - KENTUCKY AVE  2314  CLOVERDALE, IN.  2157</v>
      </c>
      <c r="B138" s="134" t="s">
        <v>665</v>
      </c>
      <c r="C138" s="130">
        <v>2314</v>
      </c>
      <c r="D138" s="134">
        <v>2157</v>
      </c>
      <c r="E138" s="131" t="s">
        <v>680</v>
      </c>
      <c r="F138" s="131" t="s">
        <v>662</v>
      </c>
    </row>
    <row r="139" spans="1:6" ht="12.75" customHeight="1" x14ac:dyDescent="0.2">
      <c r="A139" t="str">
        <f t="shared" si="2"/>
        <v>MARTIN MARIETTA - KENTUCKY AVE  2314  INDIANAPOLIS, IN.  2314</v>
      </c>
      <c r="B139" s="134" t="s">
        <v>665</v>
      </c>
      <c r="C139" s="130">
        <v>2314</v>
      </c>
      <c r="D139" s="134">
        <v>2314</v>
      </c>
      <c r="E139" s="131" t="s">
        <v>680</v>
      </c>
      <c r="F139" s="131" t="s">
        <v>553</v>
      </c>
    </row>
    <row r="140" spans="1:6" ht="12.75" customHeight="1" x14ac:dyDescent="0.2">
      <c r="A140" t="str">
        <f t="shared" si="2"/>
        <v>MARTIN MARIETTA - RIVER RD  2303  CARMEL, IN.  2303</v>
      </c>
      <c r="B140" s="134" t="s">
        <v>681</v>
      </c>
      <c r="C140" s="130">
        <v>2303</v>
      </c>
      <c r="D140" s="134">
        <v>2303</v>
      </c>
      <c r="E140" s="131" t="s">
        <v>682</v>
      </c>
      <c r="F140" s="131" t="s">
        <v>683</v>
      </c>
    </row>
    <row r="141" spans="1:6" ht="12.75" customHeight="1" x14ac:dyDescent="0.2">
      <c r="A141" t="str">
        <f t="shared" si="2"/>
        <v>MARTIN MARIETTA-BELMONT  2310  INDIANAPOLIS, IN.  2310</v>
      </c>
      <c r="B141" s="134" t="s">
        <v>684</v>
      </c>
      <c r="C141" s="130">
        <v>2310</v>
      </c>
      <c r="D141" s="134">
        <v>2310</v>
      </c>
      <c r="E141" s="131" t="s">
        <v>685</v>
      </c>
      <c r="F141" s="131" t="s">
        <v>553</v>
      </c>
    </row>
    <row r="142" spans="1:6" ht="12.75" customHeight="1" x14ac:dyDescent="0.2">
      <c r="A142" t="str">
        <f t="shared" si="2"/>
        <v>MARTIN MARIETTA-E-TOWN S AND G  2506  HARRISON, OH  2506</v>
      </c>
      <c r="B142" s="134" t="s">
        <v>686</v>
      </c>
      <c r="C142" s="130">
        <v>2506</v>
      </c>
      <c r="D142" s="134">
        <v>2506</v>
      </c>
      <c r="E142" s="131" t="s">
        <v>687</v>
      </c>
      <c r="F142" s="131" t="s">
        <v>688</v>
      </c>
    </row>
    <row r="143" spans="1:6" ht="12.75" customHeight="1" x14ac:dyDescent="0.2">
      <c r="A143" t="str">
        <f t="shared" si="2"/>
        <v>MELVIN ST CO KILBY RAILYARD  0142  CINCINNATI, OH  0040</v>
      </c>
      <c r="B143" s="134" t="s">
        <v>689</v>
      </c>
      <c r="C143" s="130" t="s">
        <v>690</v>
      </c>
      <c r="D143" s="134" t="s">
        <v>691</v>
      </c>
      <c r="E143" s="131" t="s">
        <v>692</v>
      </c>
      <c r="F143" s="131" t="s">
        <v>693</v>
      </c>
    </row>
    <row r="144" spans="1:6" ht="12.75" customHeight="1" x14ac:dyDescent="0.2">
      <c r="A144" t="str">
        <f t="shared" si="2"/>
        <v>MICHIANA AGGREGATE, INC.  2495  NILES, MI  2495</v>
      </c>
      <c r="B144" s="134" t="s">
        <v>694</v>
      </c>
      <c r="C144" s="130">
        <v>2495</v>
      </c>
      <c r="D144" s="134">
        <v>2495</v>
      </c>
      <c r="E144" s="131" t="s">
        <v>695</v>
      </c>
      <c r="F144" s="131" t="s">
        <v>416</v>
      </c>
    </row>
    <row r="145" spans="1:6" ht="12.75" customHeight="1" x14ac:dyDescent="0.2">
      <c r="A145" t="str">
        <f t="shared" si="2"/>
        <v>MILESTONE PLANT 43  0056  CRAWFORDSVILLE, IN  0056</v>
      </c>
      <c r="B145" s="134" t="s">
        <v>696</v>
      </c>
      <c r="C145" s="132" t="s">
        <v>697</v>
      </c>
      <c r="D145" s="135" t="s">
        <v>697</v>
      </c>
      <c r="E145" s="131" t="s">
        <v>698</v>
      </c>
      <c r="F145" s="131" t="s">
        <v>699</v>
      </c>
    </row>
    <row r="146" spans="1:6" ht="12.75" customHeight="1" x14ac:dyDescent="0.2">
      <c r="A146" t="str">
        <f t="shared" si="2"/>
        <v>MOOSE LAKE AGGREGATE  2771  NILES, MI  2771</v>
      </c>
      <c r="B146" s="134" t="s">
        <v>700</v>
      </c>
      <c r="C146" s="130">
        <v>2771</v>
      </c>
      <c r="D146" s="134">
        <v>2771</v>
      </c>
      <c r="E146" s="131" t="s">
        <v>701</v>
      </c>
      <c r="F146" s="131" t="s">
        <v>416</v>
      </c>
    </row>
    <row r="147" spans="1:6" ht="12.75" customHeight="1" x14ac:dyDescent="0.2">
      <c r="A147" t="str">
        <f t="shared" si="2"/>
        <v>MULTISERV STEEL DYNAMICS  2186  PITTSBORO, IN  2186</v>
      </c>
      <c r="B147" s="134" t="s">
        <v>702</v>
      </c>
      <c r="C147" s="130">
        <v>2186</v>
      </c>
      <c r="D147" s="134">
        <v>2186</v>
      </c>
      <c r="E147" s="131" t="s">
        <v>703</v>
      </c>
      <c r="F147" s="131" t="s">
        <v>704</v>
      </c>
    </row>
    <row r="148" spans="1:6" ht="12.75" customHeight="1" x14ac:dyDescent="0.2">
      <c r="A148" t="str">
        <f t="shared" si="2"/>
        <v>MULZER - EVANSVILLE IN  2974  CAPE SANDY, IN.  2621</v>
      </c>
      <c r="B148" s="134" t="s">
        <v>501</v>
      </c>
      <c r="C148" s="130">
        <v>2974</v>
      </c>
      <c r="D148" s="134">
        <v>2621</v>
      </c>
      <c r="E148" s="131" t="s">
        <v>705</v>
      </c>
      <c r="F148" s="131" t="s">
        <v>706</v>
      </c>
    </row>
    <row r="149" spans="1:6" ht="12.75" customHeight="1" x14ac:dyDescent="0.2">
      <c r="A149" t="str">
        <f t="shared" si="2"/>
        <v>MULZER - LEAVENWORTH IN  2624  CAPE SANDY, IN.  2621</v>
      </c>
      <c r="B149" s="134" t="s">
        <v>707</v>
      </c>
      <c r="C149" s="130">
        <v>2624</v>
      </c>
      <c r="D149" s="134">
        <v>2621</v>
      </c>
      <c r="E149" s="131" t="s">
        <v>708</v>
      </c>
      <c r="F149" s="131" t="s">
        <v>706</v>
      </c>
    </row>
    <row r="150" spans="1:6" ht="12.75" customHeight="1" x14ac:dyDescent="0.2">
      <c r="A150" t="str">
        <f t="shared" si="2"/>
        <v>MULZER - NEWBURGH IN  2970  CAPE SANDY, IN.  2621</v>
      </c>
      <c r="B150" s="134" t="s">
        <v>498</v>
      </c>
      <c r="C150" s="130">
        <v>2970</v>
      </c>
      <c r="D150" s="134">
        <v>2621</v>
      </c>
      <c r="E150" s="131" t="s">
        <v>709</v>
      </c>
      <c r="F150" s="131" t="s">
        <v>706</v>
      </c>
    </row>
    <row r="151" spans="1:6" ht="12.75" customHeight="1" x14ac:dyDescent="0.2">
      <c r="A151" t="str">
        <f t="shared" si="2"/>
        <v>MULZER - TELL CITY IN  2972  CAPE SANDY, IN.  2621</v>
      </c>
      <c r="B151" s="134" t="s">
        <v>500</v>
      </c>
      <c r="C151" s="130">
        <v>2972</v>
      </c>
      <c r="D151" s="134">
        <v>2621</v>
      </c>
      <c r="E151" s="131" t="s">
        <v>710</v>
      </c>
      <c r="F151" s="131" t="s">
        <v>706</v>
      </c>
    </row>
    <row r="152" spans="1:6" ht="12.75" customHeight="1" x14ac:dyDescent="0.2">
      <c r="A152" t="str">
        <f t="shared" si="2"/>
        <v>MULZER (EVANSVILLE MATERIALS)  2632  CAPE SANDY, IN.  2621</v>
      </c>
      <c r="B152" s="134" t="s">
        <v>494</v>
      </c>
      <c r="C152" s="130">
        <v>2632</v>
      </c>
      <c r="D152" s="134">
        <v>2621</v>
      </c>
      <c r="E152" s="131" t="s">
        <v>711</v>
      </c>
      <c r="F152" s="131" t="s">
        <v>706</v>
      </c>
    </row>
    <row r="153" spans="1:6" ht="12.75" customHeight="1" x14ac:dyDescent="0.2">
      <c r="A153" t="str">
        <f t="shared" si="2"/>
        <v>MULZER CRUSHED STONE   2682  ABYDEL, IN  2682</v>
      </c>
      <c r="B153" s="134" t="s">
        <v>712</v>
      </c>
      <c r="C153" s="130">
        <v>2682</v>
      </c>
      <c r="D153" s="134">
        <v>2682</v>
      </c>
      <c r="E153" s="131" t="s">
        <v>713</v>
      </c>
      <c r="F153" s="131" t="s">
        <v>714</v>
      </c>
    </row>
    <row r="154" spans="1:6" ht="12.75" customHeight="1" x14ac:dyDescent="0.2">
      <c r="A154" t="str">
        <f t="shared" si="2"/>
        <v>MULZER CRUSHED STONE  2540  CHARLESTOWN, IN.  2540</v>
      </c>
      <c r="B154" s="134" t="s">
        <v>715</v>
      </c>
      <c r="C154" s="130">
        <v>2540</v>
      </c>
      <c r="D154" s="134">
        <v>2540</v>
      </c>
      <c r="E154" s="131" t="s">
        <v>716</v>
      </c>
      <c r="F154" s="131" t="s">
        <v>717</v>
      </c>
    </row>
    <row r="155" spans="1:6" ht="12.75" customHeight="1" x14ac:dyDescent="0.2">
      <c r="A155" t="str">
        <f t="shared" si="2"/>
        <v>MULZER CRUSHED STONE  2572  GRIFFIN, IN.  2631</v>
      </c>
      <c r="B155" s="134" t="s">
        <v>625</v>
      </c>
      <c r="C155" s="130">
        <v>2572</v>
      </c>
      <c r="D155" s="134">
        <v>2631</v>
      </c>
      <c r="E155" s="131" t="s">
        <v>716</v>
      </c>
      <c r="F155" s="131" t="s">
        <v>718</v>
      </c>
    </row>
    <row r="156" spans="1:6" ht="12.75" customHeight="1" x14ac:dyDescent="0.2">
      <c r="A156" t="str">
        <f t="shared" si="2"/>
        <v>MULZER CRUSHED STONE  2631  GRIFFIN, IN.  2631</v>
      </c>
      <c r="B156" s="134" t="s">
        <v>719</v>
      </c>
      <c r="C156" s="130">
        <v>2631</v>
      </c>
      <c r="D156" s="134">
        <v>2631</v>
      </c>
      <c r="E156" s="131" t="s">
        <v>716</v>
      </c>
      <c r="F156" s="131" t="s">
        <v>718</v>
      </c>
    </row>
    <row r="157" spans="1:6" ht="12.75" customHeight="1" x14ac:dyDescent="0.2">
      <c r="A157" t="str">
        <f t="shared" si="2"/>
        <v>MULZER CRUSHED STONE  2632  GRIFFIN, IN.  2631</v>
      </c>
      <c r="B157" s="134" t="s">
        <v>494</v>
      </c>
      <c r="C157" s="130">
        <v>2632</v>
      </c>
      <c r="D157" s="134">
        <v>2631</v>
      </c>
      <c r="E157" s="131" t="s">
        <v>716</v>
      </c>
      <c r="F157" s="131" t="s">
        <v>718</v>
      </c>
    </row>
    <row r="158" spans="1:6" ht="12.75" customHeight="1" x14ac:dyDescent="0.2">
      <c r="A158" t="str">
        <f t="shared" si="2"/>
        <v>MULZER CRUSHED STONE  2969  GRIFFIN, IN.  2631</v>
      </c>
      <c r="B158" s="134" t="s">
        <v>497</v>
      </c>
      <c r="C158" s="130">
        <v>2969</v>
      </c>
      <c r="D158" s="134">
        <v>2631</v>
      </c>
      <c r="E158" s="131" t="s">
        <v>716</v>
      </c>
      <c r="F158" s="131" t="s">
        <v>718</v>
      </c>
    </row>
    <row r="159" spans="1:6" ht="12.75" customHeight="1" x14ac:dyDescent="0.2">
      <c r="A159" t="str">
        <f t="shared" si="2"/>
        <v>MULZER CRUSHED STONE  2969  NEW AMSTERDAM, IN  2776</v>
      </c>
      <c r="B159" s="134" t="s">
        <v>497</v>
      </c>
      <c r="C159" s="130">
        <v>2969</v>
      </c>
      <c r="D159" s="134">
        <v>2776</v>
      </c>
      <c r="E159" s="131" t="s">
        <v>716</v>
      </c>
      <c r="F159" s="131" t="s">
        <v>720</v>
      </c>
    </row>
    <row r="160" spans="1:6" ht="12.75" customHeight="1" x14ac:dyDescent="0.2">
      <c r="A160" t="str">
        <f t="shared" si="2"/>
        <v>MULZER CRUSHED STONE  2970  CHARLESTOWN, IN.  2540</v>
      </c>
      <c r="B160" s="134" t="s">
        <v>498</v>
      </c>
      <c r="C160" s="130">
        <v>2970</v>
      </c>
      <c r="D160" s="134">
        <v>2540</v>
      </c>
      <c r="E160" s="131" t="s">
        <v>716</v>
      </c>
      <c r="F160" s="131" t="s">
        <v>717</v>
      </c>
    </row>
    <row r="161" spans="1:6" ht="12.75" customHeight="1" x14ac:dyDescent="0.2">
      <c r="A161" t="str">
        <f t="shared" si="2"/>
        <v>MULZER CRUSHED STONE  2970  CHARLESTOWN, IN.  2540</v>
      </c>
      <c r="B161" s="134" t="s">
        <v>498</v>
      </c>
      <c r="C161" s="130">
        <v>2970</v>
      </c>
      <c r="D161" s="134">
        <v>2540</v>
      </c>
      <c r="E161" s="131" t="s">
        <v>716</v>
      </c>
      <c r="F161" s="131" t="s">
        <v>717</v>
      </c>
    </row>
    <row r="162" spans="1:6" ht="12.75" customHeight="1" x14ac:dyDescent="0.2">
      <c r="A162" t="str">
        <f t="shared" si="2"/>
        <v>MULZER CRUSHED STONE  2970  GRIFFIN, IN.  2631</v>
      </c>
      <c r="B162" s="134" t="s">
        <v>498</v>
      </c>
      <c r="C162" s="130">
        <v>2970</v>
      </c>
      <c r="D162" s="134">
        <v>2631</v>
      </c>
      <c r="E162" s="131" t="s">
        <v>716</v>
      </c>
      <c r="F162" s="131" t="s">
        <v>718</v>
      </c>
    </row>
    <row r="163" spans="1:6" ht="12.75" customHeight="1" x14ac:dyDescent="0.2">
      <c r="A163" t="str">
        <f t="shared" si="2"/>
        <v>MULZER CRUSHED STONE  2970  NEW AMSTERDAM, IN  2776</v>
      </c>
      <c r="B163" s="134" t="s">
        <v>498</v>
      </c>
      <c r="C163" s="130">
        <v>2970</v>
      </c>
      <c r="D163" s="134">
        <v>2776</v>
      </c>
      <c r="E163" s="131" t="s">
        <v>716</v>
      </c>
      <c r="F163" s="131" t="s">
        <v>720</v>
      </c>
    </row>
    <row r="164" spans="1:6" ht="12.75" customHeight="1" x14ac:dyDescent="0.2">
      <c r="A164" t="str">
        <f t="shared" si="2"/>
        <v>MULZER CRUSHED STONE  2970  NEW AMSTERDAM, IN  2776</v>
      </c>
      <c r="B164" s="134" t="s">
        <v>498</v>
      </c>
      <c r="C164" s="130">
        <v>2970</v>
      </c>
      <c r="D164" s="134">
        <v>2776</v>
      </c>
      <c r="E164" s="131" t="s">
        <v>716</v>
      </c>
      <c r="F164" s="131" t="s">
        <v>720</v>
      </c>
    </row>
    <row r="165" spans="1:6" x14ac:dyDescent="0.2">
      <c r="A165" t="str">
        <f t="shared" si="2"/>
        <v>MULZER CRUSHED STONE  2971  NEW AMSTERDAM, IN  2776</v>
      </c>
      <c r="B165" s="134" t="s">
        <v>499</v>
      </c>
      <c r="C165" s="130">
        <v>2971</v>
      </c>
      <c r="D165" s="134">
        <v>2776</v>
      </c>
      <c r="E165" s="131" t="s">
        <v>716</v>
      </c>
      <c r="F165" s="131" t="s">
        <v>720</v>
      </c>
    </row>
    <row r="166" spans="1:6" x14ac:dyDescent="0.2">
      <c r="A166" t="str">
        <f t="shared" si="2"/>
        <v>MULZER CRUSHED STONE  2972  CHARLESTOWN, IN.  2540</v>
      </c>
      <c r="B166" s="134" t="s">
        <v>500</v>
      </c>
      <c r="C166" s="130">
        <v>2972</v>
      </c>
      <c r="D166" s="134">
        <v>2540</v>
      </c>
      <c r="E166" s="131" t="s">
        <v>716</v>
      </c>
      <c r="F166" s="131" t="s">
        <v>717</v>
      </c>
    </row>
    <row r="167" spans="1:6" x14ac:dyDescent="0.2">
      <c r="A167" t="str">
        <f t="shared" si="2"/>
        <v>MULZER CRUSHED STONE  2972  NEW AMSTERDAM, IN  2776</v>
      </c>
      <c r="B167" s="134" t="s">
        <v>500</v>
      </c>
      <c r="C167" s="130">
        <v>2972</v>
      </c>
      <c r="D167" s="134">
        <v>2776</v>
      </c>
      <c r="E167" s="131" t="s">
        <v>716</v>
      </c>
      <c r="F167" s="131" t="s">
        <v>720</v>
      </c>
    </row>
    <row r="168" spans="1:6" x14ac:dyDescent="0.2">
      <c r="A168" t="str">
        <f t="shared" si="2"/>
        <v>MULZER CRUSHED STONE  2974  CHARLESTOWN, IN.  2540</v>
      </c>
      <c r="B168" s="134" t="s">
        <v>501</v>
      </c>
      <c r="C168" s="130">
        <v>2974</v>
      </c>
      <c r="D168" s="134">
        <v>2540</v>
      </c>
      <c r="E168" s="131" t="s">
        <v>716</v>
      </c>
      <c r="F168" s="131" t="s">
        <v>717</v>
      </c>
    </row>
    <row r="169" spans="1:6" x14ac:dyDescent="0.2">
      <c r="A169" t="str">
        <f t="shared" si="2"/>
        <v>MULZER CRUSHED STONE  2974  GRIFFIN, IN.  2631</v>
      </c>
      <c r="B169" s="134" t="s">
        <v>501</v>
      </c>
      <c r="C169" s="130">
        <v>2974</v>
      </c>
      <c r="D169" s="134">
        <v>2631</v>
      </c>
      <c r="E169" s="131" t="s">
        <v>716</v>
      </c>
      <c r="F169" s="131" t="s">
        <v>718</v>
      </c>
    </row>
    <row r="170" spans="1:6" x14ac:dyDescent="0.2">
      <c r="A170" t="str">
        <f t="shared" si="2"/>
        <v>MULZER CRUSHED STONE CO.  2624  LEAVENWORTH, IN.  2624</v>
      </c>
      <c r="B170" s="134" t="s">
        <v>707</v>
      </c>
      <c r="C170" s="130">
        <v>2624</v>
      </c>
      <c r="D170" s="134">
        <v>2624</v>
      </c>
      <c r="E170" s="131" t="s">
        <v>721</v>
      </c>
      <c r="F170" s="131" t="s">
        <v>722</v>
      </c>
    </row>
    <row r="171" spans="1:6" x14ac:dyDescent="0.2">
      <c r="A171" t="str">
        <f t="shared" si="2"/>
        <v>MULZER CRUSHED STONE CO.  2646  ENGLISH, IN.  2646</v>
      </c>
      <c r="B171" s="134" t="s">
        <v>723</v>
      </c>
      <c r="C171" s="130">
        <v>2646</v>
      </c>
      <c r="D171" s="134">
        <v>2646</v>
      </c>
      <c r="E171" s="131" t="s">
        <v>721</v>
      </c>
      <c r="F171" s="131" t="s">
        <v>724</v>
      </c>
    </row>
    <row r="172" spans="1:6" x14ac:dyDescent="0.2">
      <c r="A172" t="str">
        <f t="shared" si="2"/>
        <v>MULZER CRUSHED STONE CO.  2972  ENGLISH, IN.  2646</v>
      </c>
      <c r="B172" s="134" t="s">
        <v>500</v>
      </c>
      <c r="C172" s="130">
        <v>2972</v>
      </c>
      <c r="D172" s="134">
        <v>2646</v>
      </c>
      <c r="E172" s="131" t="s">
        <v>721</v>
      </c>
      <c r="F172" s="131" t="s">
        <v>724</v>
      </c>
    </row>
    <row r="173" spans="1:6" x14ac:dyDescent="0.2">
      <c r="A173" t="str">
        <f t="shared" si="2"/>
        <v>MULZER CRUSHED STONE CO.  2972  LEAVENWORTH, IN.  2624</v>
      </c>
      <c r="B173" s="134" t="s">
        <v>500</v>
      </c>
      <c r="C173" s="130">
        <v>2972</v>
      </c>
      <c r="D173" s="134">
        <v>2624</v>
      </c>
      <c r="E173" s="131" t="s">
        <v>721</v>
      </c>
      <c r="F173" s="131" t="s">
        <v>722</v>
      </c>
    </row>
    <row r="174" spans="1:6" x14ac:dyDescent="0.2">
      <c r="A174" t="str">
        <f t="shared" si="2"/>
        <v>MULZER CRUSHED STONE I-164 PIT  2632  EVANSVILLE, IN.  2668</v>
      </c>
      <c r="B174" s="134" t="s">
        <v>494</v>
      </c>
      <c r="C174" s="130">
        <v>2632</v>
      </c>
      <c r="D174" s="134">
        <v>2668</v>
      </c>
      <c r="E174" s="131" t="s">
        <v>725</v>
      </c>
      <c r="F174" s="131" t="s">
        <v>496</v>
      </c>
    </row>
    <row r="175" spans="1:6" x14ac:dyDescent="0.2">
      <c r="A175" t="str">
        <f t="shared" si="2"/>
        <v>MULZER CRUSHED STONE I-164 PIT  2668  EVANSVILLE, IN.  2668</v>
      </c>
      <c r="B175" s="134" t="s">
        <v>726</v>
      </c>
      <c r="C175" s="130">
        <v>2668</v>
      </c>
      <c r="D175" s="134">
        <v>2668</v>
      </c>
      <c r="E175" s="131" t="s">
        <v>725</v>
      </c>
      <c r="F175" s="131" t="s">
        <v>496</v>
      </c>
    </row>
    <row r="176" spans="1:6" x14ac:dyDescent="0.2">
      <c r="A176" t="str">
        <f t="shared" si="2"/>
        <v>MULZER CRUSHED STONE I-164 PIT  2970  EVANSVILLE, IN.  2668</v>
      </c>
      <c r="B176" s="134" t="s">
        <v>498</v>
      </c>
      <c r="C176" s="130">
        <v>2970</v>
      </c>
      <c r="D176" s="134">
        <v>2668</v>
      </c>
      <c r="E176" s="131" t="s">
        <v>725</v>
      </c>
      <c r="F176" s="131" t="s">
        <v>496</v>
      </c>
    </row>
    <row r="177" spans="1:6" x14ac:dyDescent="0.2">
      <c r="A177" t="str">
        <f t="shared" si="2"/>
        <v>MULZER CRUSHED STONE I-164 PIT  2974  EVANSVILLE, IN.  2668</v>
      </c>
      <c r="B177" s="134" t="s">
        <v>501</v>
      </c>
      <c r="C177" s="130">
        <v>2974</v>
      </c>
      <c r="D177" s="134">
        <v>2668</v>
      </c>
      <c r="E177" s="131" t="s">
        <v>725</v>
      </c>
      <c r="F177" s="131" t="s">
        <v>496</v>
      </c>
    </row>
    <row r="178" spans="1:6" x14ac:dyDescent="0.2">
      <c r="A178" t="str">
        <f t="shared" si="2"/>
        <v>MULZER- MT. VERNON IN  2969  CAPE SANDY, IN.  2621</v>
      </c>
      <c r="B178" s="134" t="s">
        <v>497</v>
      </c>
      <c r="C178" s="130">
        <v>2969</v>
      </c>
      <c r="D178" s="134">
        <v>2621</v>
      </c>
      <c r="E178" s="131" t="s">
        <v>727</v>
      </c>
      <c r="F178" s="131" t="s">
        <v>706</v>
      </c>
    </row>
    <row r="179" spans="1:6" x14ac:dyDescent="0.2">
      <c r="A179" t="str">
        <f t="shared" si="2"/>
        <v>MULZER- ROCKPORT IN  2971  CAPE SANDY, IN.  2621</v>
      </c>
      <c r="B179" s="134" t="s">
        <v>499</v>
      </c>
      <c r="C179" s="130">
        <v>2971</v>
      </c>
      <c r="D179" s="134">
        <v>2621</v>
      </c>
      <c r="E179" s="131" t="s">
        <v>728</v>
      </c>
      <c r="F179" s="131" t="s">
        <v>706</v>
      </c>
    </row>
    <row r="180" spans="1:6" x14ac:dyDescent="0.2">
      <c r="A180" t="str">
        <f t="shared" si="2"/>
        <v>NEW POINT STONE - HARRIS CITY  2533  GREENSBURG, IN.  2533</v>
      </c>
      <c r="B180" s="134" t="s">
        <v>729</v>
      </c>
      <c r="C180" s="130">
        <v>2533</v>
      </c>
      <c r="D180" s="134">
        <v>2533</v>
      </c>
      <c r="E180" s="131" t="s">
        <v>730</v>
      </c>
      <c r="F180" s="131" t="s">
        <v>731</v>
      </c>
    </row>
    <row r="181" spans="1:6" x14ac:dyDescent="0.2">
      <c r="A181" t="str">
        <f t="shared" si="2"/>
        <v>NEW POINT STONE CO   2538  ST. PAUL, IN.  2538</v>
      </c>
      <c r="B181" s="134" t="s">
        <v>732</v>
      </c>
      <c r="C181" s="130">
        <v>2538</v>
      </c>
      <c r="D181" s="134">
        <v>2538</v>
      </c>
      <c r="E181" s="131" t="s">
        <v>733</v>
      </c>
      <c r="F181" s="131" t="s">
        <v>734</v>
      </c>
    </row>
    <row r="182" spans="1:6" x14ac:dyDescent="0.2">
      <c r="A182" t="str">
        <f t="shared" si="2"/>
        <v>NEW POINT STONE CO - NAPOLEON  2537  BATESVILLE, IN  2537</v>
      </c>
      <c r="B182" s="134" t="s">
        <v>735</v>
      </c>
      <c r="C182" s="130">
        <v>2537</v>
      </c>
      <c r="D182" s="134">
        <v>2537</v>
      </c>
      <c r="E182" s="131" t="s">
        <v>736</v>
      </c>
      <c r="F182" s="131" t="s">
        <v>737</v>
      </c>
    </row>
    <row r="183" spans="1:6" x14ac:dyDescent="0.2">
      <c r="A183" t="str">
        <f t="shared" si="2"/>
        <v>NEW POINT STONE CO - NEW POINT  2536  GREENSBURG, IN  2536</v>
      </c>
      <c r="B183" s="134" t="s">
        <v>738</v>
      </c>
      <c r="C183" s="130">
        <v>2536</v>
      </c>
      <c r="D183" s="134">
        <v>2536</v>
      </c>
      <c r="E183" s="131" t="s">
        <v>739</v>
      </c>
      <c r="F183" s="131" t="s">
        <v>740</v>
      </c>
    </row>
    <row r="184" spans="1:6" x14ac:dyDescent="0.2">
      <c r="A184" t="str">
        <f t="shared" si="2"/>
        <v>NEW POINT STONE CO-DERBYSHIRE  2510  LAUREL, IN.  2510</v>
      </c>
      <c r="B184" s="134" t="s">
        <v>741</v>
      </c>
      <c r="C184" s="130">
        <v>2510</v>
      </c>
      <c r="D184" s="134">
        <v>2510</v>
      </c>
      <c r="E184" s="131" t="s">
        <v>742</v>
      </c>
      <c r="F184" s="131" t="s">
        <v>743</v>
      </c>
    </row>
    <row r="185" spans="1:6" x14ac:dyDescent="0.2">
      <c r="A185" t="str">
        <f t="shared" si="2"/>
        <v>NIBLOCK EXCAVATING AND ASPHALT  2207  KIMMEL, IN  2207</v>
      </c>
      <c r="B185" s="134" t="s">
        <v>744</v>
      </c>
      <c r="C185" s="130">
        <v>2207</v>
      </c>
      <c r="D185" s="134">
        <v>2207</v>
      </c>
      <c r="E185" s="131" t="s">
        <v>745</v>
      </c>
      <c r="F185" s="131" t="s">
        <v>746</v>
      </c>
    </row>
    <row r="186" spans="1:6" x14ac:dyDescent="0.2">
      <c r="A186" t="str">
        <f t="shared" si="2"/>
        <v>NIBLOCK EXCAVATING INC  2273  BRISTOL, IN.  2273</v>
      </c>
      <c r="B186" s="134" t="s">
        <v>747</v>
      </c>
      <c r="C186" s="130">
        <v>2273</v>
      </c>
      <c r="D186" s="134">
        <v>2273</v>
      </c>
      <c r="E186" s="131" t="s">
        <v>748</v>
      </c>
      <c r="F186" s="131" t="s">
        <v>749</v>
      </c>
    </row>
    <row r="187" spans="1:6" x14ac:dyDescent="0.2">
      <c r="A187" t="str">
        <f t="shared" si="2"/>
        <v>NORTH AMERICAN LIME-243 QUARRY  0041  CLOVERDALE, IN  0041</v>
      </c>
      <c r="B187" s="134" t="s">
        <v>750</v>
      </c>
      <c r="C187" s="132" t="s">
        <v>751</v>
      </c>
      <c r="D187" s="135" t="s">
        <v>751</v>
      </c>
      <c r="E187" s="131" t="s">
        <v>752</v>
      </c>
      <c r="F187" s="131" t="s">
        <v>753</v>
      </c>
    </row>
    <row r="188" spans="1:6" x14ac:dyDescent="0.2">
      <c r="A188" t="str">
        <f t="shared" si="2"/>
        <v>NORTHERN KENTUCKY AGGREGATES  2528  PETERSBURG, KY  2528</v>
      </c>
      <c r="B188" s="134" t="s">
        <v>754</v>
      </c>
      <c r="C188" s="130">
        <v>2528</v>
      </c>
      <c r="D188" s="134">
        <v>2528</v>
      </c>
      <c r="E188" s="131" t="s">
        <v>755</v>
      </c>
      <c r="F188" s="131" t="s">
        <v>756</v>
      </c>
    </row>
    <row r="189" spans="1:6" x14ac:dyDescent="0.2">
      <c r="A189" t="str">
        <f t="shared" si="2"/>
        <v>NUGENT SAND COMPANY  2553  MILTON, KY.  2553</v>
      </c>
      <c r="B189" s="134" t="s">
        <v>757</v>
      </c>
      <c r="C189" s="130">
        <v>2553</v>
      </c>
      <c r="D189" s="134">
        <v>2553</v>
      </c>
      <c r="E189" s="131" t="s">
        <v>758</v>
      </c>
      <c r="F189" s="131" t="s">
        <v>759</v>
      </c>
    </row>
    <row r="190" spans="1:6" x14ac:dyDescent="0.2">
      <c r="A190" t="str">
        <f t="shared" si="2"/>
        <v>NUGENT SAND COMPANY  2576  LOUISVILLE, KY.  2576</v>
      </c>
      <c r="B190" s="134" t="s">
        <v>760</v>
      </c>
      <c r="C190" s="130">
        <v>2576</v>
      </c>
      <c r="D190" s="134">
        <v>2576</v>
      </c>
      <c r="E190" s="131" t="s">
        <v>758</v>
      </c>
      <c r="F190" s="131" t="s">
        <v>761</v>
      </c>
    </row>
    <row r="191" spans="1:6" x14ac:dyDescent="0.2">
      <c r="A191" t="str">
        <f t="shared" ref="A191:A254" si="3">E191&amp;"  "&amp;C191&amp;"  "&amp;F191&amp;"  "&amp;D191</f>
        <v>NUGENT SAND COMPANY  2576  MILTON, KY.  2553</v>
      </c>
      <c r="B191" s="134" t="s">
        <v>760</v>
      </c>
      <c r="C191" s="130">
        <v>2576</v>
      </c>
      <c r="D191" s="134">
        <v>2553</v>
      </c>
      <c r="E191" s="131" t="s">
        <v>758</v>
      </c>
      <c r="F191" s="131" t="s">
        <v>759</v>
      </c>
    </row>
    <row r="192" spans="1:6" x14ac:dyDescent="0.2">
      <c r="A192" t="str">
        <f t="shared" si="3"/>
        <v>NUGENT SAND COMPANY  2590  COLUMBUS, IN.  2590</v>
      </c>
      <c r="B192" s="134" t="s">
        <v>762</v>
      </c>
      <c r="C192" s="130">
        <v>2590</v>
      </c>
      <c r="D192" s="134">
        <v>2590</v>
      </c>
      <c r="E192" s="131" t="s">
        <v>758</v>
      </c>
      <c r="F192" s="131" t="s">
        <v>763</v>
      </c>
    </row>
    <row r="193" spans="1:6" x14ac:dyDescent="0.2">
      <c r="A193" t="str">
        <f t="shared" si="3"/>
        <v>OLD PRAIRIE PRODUCTS, INC.  2702  ANGOLA, IN.  2702</v>
      </c>
      <c r="B193" s="134" t="s">
        <v>764</v>
      </c>
      <c r="C193" s="130">
        <v>2702</v>
      </c>
      <c r="D193" s="134">
        <v>2702</v>
      </c>
      <c r="E193" s="131" t="s">
        <v>765</v>
      </c>
      <c r="F193" s="131" t="s">
        <v>528</v>
      </c>
    </row>
    <row r="194" spans="1:6" x14ac:dyDescent="0.2">
      <c r="A194" t="str">
        <f t="shared" si="3"/>
        <v>OLD PRAIRIE PRODUCTS, INC.  2706  FT. WAYNE, IN.  2706</v>
      </c>
      <c r="B194" s="134" t="s">
        <v>766</v>
      </c>
      <c r="C194" s="130">
        <v>2706</v>
      </c>
      <c r="D194" s="134">
        <v>2706</v>
      </c>
      <c r="E194" s="131" t="s">
        <v>765</v>
      </c>
      <c r="F194" s="131" t="s">
        <v>767</v>
      </c>
    </row>
    <row r="195" spans="1:6" x14ac:dyDescent="0.2">
      <c r="A195" t="str">
        <f t="shared" si="3"/>
        <v>PHOENIX SERVICES, LLC  0045  PORTAGE, IN.  2451</v>
      </c>
      <c r="B195" s="134" t="s">
        <v>768</v>
      </c>
      <c r="C195" s="132" t="s">
        <v>769</v>
      </c>
      <c r="D195" s="134">
        <v>2451</v>
      </c>
      <c r="E195" s="131" t="s">
        <v>770</v>
      </c>
      <c r="F195" s="131" t="s">
        <v>771</v>
      </c>
    </row>
    <row r="196" spans="1:6" x14ac:dyDescent="0.2">
      <c r="A196" t="str">
        <f t="shared" si="3"/>
        <v>PHOENIX SERVICES, LLC  2414  PORTAGE, IN.  2451</v>
      </c>
      <c r="B196" s="134" t="s">
        <v>772</v>
      </c>
      <c r="C196" s="130">
        <v>2414</v>
      </c>
      <c r="D196" s="134">
        <v>2451</v>
      </c>
      <c r="E196" s="131" t="s">
        <v>770</v>
      </c>
      <c r="F196" s="131" t="s">
        <v>771</v>
      </c>
    </row>
    <row r="197" spans="1:6" x14ac:dyDescent="0.2">
      <c r="A197" t="str">
        <f t="shared" si="3"/>
        <v>PHOENIX SERVICES, LLC  2451  PORTAGE, IN.  2451</v>
      </c>
      <c r="B197" s="134" t="s">
        <v>773</v>
      </c>
      <c r="C197" s="130">
        <v>2451</v>
      </c>
      <c r="D197" s="134">
        <v>2451</v>
      </c>
      <c r="E197" s="131" t="s">
        <v>770</v>
      </c>
      <c r="F197" s="131" t="s">
        <v>771</v>
      </c>
    </row>
    <row r="198" spans="1:6" x14ac:dyDescent="0.2">
      <c r="A198" t="str">
        <f t="shared" si="3"/>
        <v>PHOENIX SERVICES, LLC  2478  EAST CHICAGO, IN.  2478</v>
      </c>
      <c r="B198" s="134" t="s">
        <v>774</v>
      </c>
      <c r="C198" s="130">
        <v>2478</v>
      </c>
      <c r="D198" s="134">
        <v>2478</v>
      </c>
      <c r="E198" s="131" t="s">
        <v>770</v>
      </c>
      <c r="F198" s="131" t="s">
        <v>775</v>
      </c>
    </row>
    <row r="199" spans="1:6" x14ac:dyDescent="0.2">
      <c r="A199" t="str">
        <f t="shared" si="3"/>
        <v>PHOENIX SERVICES, LLC  2791  UNIONVILLE, PA  2791</v>
      </c>
      <c r="B199" s="134" t="s">
        <v>776</v>
      </c>
      <c r="C199" s="130">
        <v>2791</v>
      </c>
      <c r="D199" s="134">
        <v>2791</v>
      </c>
      <c r="E199" s="131" t="s">
        <v>770</v>
      </c>
      <c r="F199" s="131" t="s">
        <v>777</v>
      </c>
    </row>
    <row r="200" spans="1:6" x14ac:dyDescent="0.2">
      <c r="A200" t="str">
        <f t="shared" si="3"/>
        <v>PRAIRIE MATERIALS, INC.  2979  PAXTON, IL  2979</v>
      </c>
      <c r="B200" s="134" t="s">
        <v>778</v>
      </c>
      <c r="C200" s="130">
        <v>2979</v>
      </c>
      <c r="D200" s="134">
        <v>2979</v>
      </c>
      <c r="E200" s="131" t="s">
        <v>779</v>
      </c>
      <c r="F200" s="131" t="s">
        <v>780</v>
      </c>
    </row>
    <row r="201" spans="1:6" x14ac:dyDescent="0.2">
      <c r="A201" t="str">
        <f t="shared" si="3"/>
        <v>PRO-AGR INC.  2165  CAYUGA, IN.  2165</v>
      </c>
      <c r="B201" s="134" t="s">
        <v>781</v>
      </c>
      <c r="C201" s="130">
        <v>2165</v>
      </c>
      <c r="D201" s="134">
        <v>2165</v>
      </c>
      <c r="E201" s="131" t="s">
        <v>782</v>
      </c>
      <c r="F201" s="131" t="s">
        <v>783</v>
      </c>
    </row>
    <row r="202" spans="1:6" x14ac:dyDescent="0.2">
      <c r="A202" t="str">
        <f t="shared" si="3"/>
        <v>PURDY MATERIALS  2181  LAFAYETTE, IN  2181</v>
      </c>
      <c r="B202" s="134" t="s">
        <v>784</v>
      </c>
      <c r="C202" s="130">
        <v>2181</v>
      </c>
      <c r="D202" s="134">
        <v>2181</v>
      </c>
      <c r="E202" s="131" t="s">
        <v>785</v>
      </c>
      <c r="F202" s="131" t="s">
        <v>786</v>
      </c>
    </row>
    <row r="203" spans="1:6" x14ac:dyDescent="0.2">
      <c r="A203" t="str">
        <f t="shared" si="3"/>
        <v>PURDY MATERIALS INC.  2109  LAFAYETTE, IN  2109</v>
      </c>
      <c r="B203" s="134" t="s">
        <v>787</v>
      </c>
      <c r="C203" s="130">
        <v>2109</v>
      </c>
      <c r="D203" s="134">
        <v>2109</v>
      </c>
      <c r="E203" s="131" t="s">
        <v>788</v>
      </c>
      <c r="F203" s="131" t="s">
        <v>786</v>
      </c>
    </row>
    <row r="204" spans="1:6" x14ac:dyDescent="0.2">
      <c r="A204" t="str">
        <f t="shared" si="3"/>
        <v>R. SMITH and SONS  0091  ALLEGAN, MI  0091</v>
      </c>
      <c r="B204" s="134" t="s">
        <v>789</v>
      </c>
      <c r="C204" s="132" t="s">
        <v>790</v>
      </c>
      <c r="D204" s="135" t="s">
        <v>790</v>
      </c>
      <c r="E204" s="131" t="s">
        <v>791</v>
      </c>
      <c r="F204" s="131" t="s">
        <v>792</v>
      </c>
    </row>
    <row r="205" spans="1:6" x14ac:dyDescent="0.2">
      <c r="A205" t="str">
        <f t="shared" si="3"/>
        <v>R. SMITH and SONS  2294  ANGOLA, IN  2294</v>
      </c>
      <c r="B205" s="134" t="s">
        <v>793</v>
      </c>
      <c r="C205" s="130">
        <v>2294</v>
      </c>
      <c r="D205" s="134">
        <v>2294</v>
      </c>
      <c r="E205" s="131" t="s">
        <v>791</v>
      </c>
      <c r="F205" s="131" t="s">
        <v>465</v>
      </c>
    </row>
    <row r="206" spans="1:6" x14ac:dyDescent="0.2">
      <c r="A206" t="str">
        <f t="shared" si="3"/>
        <v>RIETH RILEY CONSTRUCTION CO.  2498  SOUTH BEND, IN  2498</v>
      </c>
      <c r="B206" s="134" t="s">
        <v>620</v>
      </c>
      <c r="C206" s="130">
        <v>2498</v>
      </c>
      <c r="D206" s="134">
        <v>2498</v>
      </c>
      <c r="E206" s="131" t="s">
        <v>794</v>
      </c>
      <c r="F206" s="131" t="s">
        <v>795</v>
      </c>
    </row>
    <row r="207" spans="1:6" x14ac:dyDescent="0.2">
      <c r="A207" t="str">
        <f t="shared" si="3"/>
        <v>RIETH RILEY MATERIALS  2779  MOORESVILLE, IN  2779</v>
      </c>
      <c r="B207" s="134" t="s">
        <v>796</v>
      </c>
      <c r="C207" s="130">
        <v>2779</v>
      </c>
      <c r="D207" s="134">
        <v>2779</v>
      </c>
      <c r="E207" s="131" t="s">
        <v>797</v>
      </c>
      <c r="F207" s="131" t="s">
        <v>798</v>
      </c>
    </row>
    <row r="208" spans="1:6" x14ac:dyDescent="0.2">
      <c r="A208" t="str">
        <f t="shared" si="3"/>
        <v>RIETH-RILEY CONSTRUCTION CO.,  2987  GARY, IN  2987</v>
      </c>
      <c r="B208" s="134" t="s">
        <v>799</v>
      </c>
      <c r="C208" s="130">
        <v>2987</v>
      </c>
      <c r="D208" s="134">
        <v>2987</v>
      </c>
      <c r="E208" s="131" t="s">
        <v>800</v>
      </c>
      <c r="F208" s="131" t="s">
        <v>801</v>
      </c>
    </row>
    <row r="209" spans="1:6" x14ac:dyDescent="0.2">
      <c r="A209" t="str">
        <f t="shared" si="3"/>
        <v>ROBERTSON CRUSHED STONE  2543  MILLTOWN, IN.  2543</v>
      </c>
      <c r="B209" s="134" t="s">
        <v>802</v>
      </c>
      <c r="C209" s="130">
        <v>2543</v>
      </c>
      <c r="D209" s="134">
        <v>2543</v>
      </c>
      <c r="E209" s="131" t="s">
        <v>803</v>
      </c>
      <c r="F209" s="131" t="s">
        <v>804</v>
      </c>
    </row>
    <row r="210" spans="1:6" x14ac:dyDescent="0.2">
      <c r="A210" t="str">
        <f t="shared" si="3"/>
        <v>ROCK BOTTOM GRAVEL PRODUCTS  2799  PLEASANT LAKE, IN  2799</v>
      </c>
      <c r="B210" s="134" t="s">
        <v>805</v>
      </c>
      <c r="C210" s="130">
        <v>2799</v>
      </c>
      <c r="D210" s="134">
        <v>2799</v>
      </c>
      <c r="E210" s="131" t="s">
        <v>806</v>
      </c>
      <c r="F210" s="131" t="s">
        <v>807</v>
      </c>
    </row>
    <row r="211" spans="1:6" x14ac:dyDescent="0.2">
      <c r="A211" t="str">
        <f t="shared" si="3"/>
        <v>ROCK CREEK STONE QUARRY  0021  BLUFFTON, IN  0021</v>
      </c>
      <c r="B211" s="134" t="s">
        <v>808</v>
      </c>
      <c r="C211" s="132" t="s">
        <v>809</v>
      </c>
      <c r="D211" s="135" t="s">
        <v>809</v>
      </c>
      <c r="E211" s="131" t="s">
        <v>810</v>
      </c>
      <c r="F211" s="131" t="s">
        <v>811</v>
      </c>
    </row>
    <row r="212" spans="1:6" x14ac:dyDescent="0.2">
      <c r="A212" t="str">
        <f t="shared" si="3"/>
        <v>ROGERS GROUP   2521  BLOOMINGTON, IN.  2521</v>
      </c>
      <c r="B212" s="134" t="s">
        <v>812</v>
      </c>
      <c r="C212" s="130">
        <v>2521</v>
      </c>
      <c r="D212" s="134">
        <v>2521</v>
      </c>
      <c r="E212" s="131" t="s">
        <v>813</v>
      </c>
      <c r="F212" s="131" t="s">
        <v>814</v>
      </c>
    </row>
    <row r="213" spans="1:6" x14ac:dyDescent="0.2">
      <c r="A213" t="str">
        <f t="shared" si="3"/>
        <v>ROGERS GROUP   2523  BLOOMINGTON, IN.  2521</v>
      </c>
      <c r="B213" s="134" t="s">
        <v>815</v>
      </c>
      <c r="C213" s="130">
        <v>2523</v>
      </c>
      <c r="D213" s="134">
        <v>2521</v>
      </c>
      <c r="E213" s="131" t="s">
        <v>813</v>
      </c>
      <c r="F213" s="131" t="s">
        <v>814</v>
      </c>
    </row>
    <row r="214" spans="1:6" x14ac:dyDescent="0.2">
      <c r="A214" t="str">
        <f t="shared" si="3"/>
        <v>ROGERS GROUP  2164  KENTLAND, IN.  2445</v>
      </c>
      <c r="B214" s="134" t="s">
        <v>576</v>
      </c>
      <c r="C214" s="130">
        <v>2164</v>
      </c>
      <c r="D214" s="134">
        <v>2445</v>
      </c>
      <c r="E214" s="131" t="s">
        <v>816</v>
      </c>
      <c r="F214" s="131" t="s">
        <v>817</v>
      </c>
    </row>
    <row r="215" spans="1:6" x14ac:dyDescent="0.2">
      <c r="A215" t="str">
        <f t="shared" si="3"/>
        <v>ROGERS GROUP  2445  KENTLAND, IN.  2445</v>
      </c>
      <c r="B215" s="134" t="s">
        <v>579</v>
      </c>
      <c r="C215" s="130">
        <v>2445</v>
      </c>
      <c r="D215" s="134">
        <v>2445</v>
      </c>
      <c r="E215" s="131" t="s">
        <v>816</v>
      </c>
      <c r="F215" s="131" t="s">
        <v>817</v>
      </c>
    </row>
    <row r="216" spans="1:6" x14ac:dyDescent="0.2">
      <c r="A216" t="str">
        <f t="shared" si="3"/>
        <v>ROGERS GROUP  2524  SPRINGVILLE, IN.  2524</v>
      </c>
      <c r="B216" s="134" t="s">
        <v>818</v>
      </c>
      <c r="C216" s="130">
        <v>2524</v>
      </c>
      <c r="D216" s="134">
        <v>2524</v>
      </c>
      <c r="E216" s="131" t="s">
        <v>816</v>
      </c>
      <c r="F216" s="131" t="s">
        <v>569</v>
      </c>
    </row>
    <row r="217" spans="1:6" x14ac:dyDescent="0.2">
      <c r="A217" t="str">
        <f t="shared" si="3"/>
        <v>ROGERS GROUP  2645  MITCHELL, IN.  2645</v>
      </c>
      <c r="B217" s="134" t="s">
        <v>819</v>
      </c>
      <c r="C217" s="130">
        <v>2645</v>
      </c>
      <c r="D217" s="134">
        <v>2645</v>
      </c>
      <c r="E217" s="131" t="s">
        <v>816</v>
      </c>
      <c r="F217" s="131" t="s">
        <v>820</v>
      </c>
    </row>
    <row r="218" spans="1:6" x14ac:dyDescent="0.2">
      <c r="A218" t="str">
        <f t="shared" si="3"/>
        <v>ROGERS GROUP  2651  MITCHELL, IN.  2645</v>
      </c>
      <c r="B218" s="134" t="s">
        <v>636</v>
      </c>
      <c r="C218" s="130">
        <v>2651</v>
      </c>
      <c r="D218" s="134">
        <v>2645</v>
      </c>
      <c r="E218" s="131" t="s">
        <v>816</v>
      </c>
      <c r="F218" s="131" t="s">
        <v>820</v>
      </c>
    </row>
    <row r="219" spans="1:6" x14ac:dyDescent="0.2">
      <c r="A219" t="str">
        <f t="shared" si="3"/>
        <v>ROGERS GROUP INC. JEFF.CO. ST.  2580  LOUISVILLE, KY.  2580</v>
      </c>
      <c r="B219" s="134" t="s">
        <v>821</v>
      </c>
      <c r="C219" s="130">
        <v>2580</v>
      </c>
      <c r="D219" s="134">
        <v>2580</v>
      </c>
      <c r="E219" s="131" t="s">
        <v>822</v>
      </c>
      <c r="F219" s="131" t="s">
        <v>761</v>
      </c>
    </row>
    <row r="220" spans="1:6" x14ac:dyDescent="0.2">
      <c r="A220" t="str">
        <f t="shared" si="3"/>
        <v>ROGERS GROUP, INC - VICTOR  2796  BLOOMINGTON, IN  2796</v>
      </c>
      <c r="B220" s="134" t="s">
        <v>823</v>
      </c>
      <c r="C220" s="130">
        <v>2796</v>
      </c>
      <c r="D220" s="134">
        <v>2796</v>
      </c>
      <c r="E220" s="131" t="s">
        <v>824</v>
      </c>
      <c r="F220" s="131" t="s">
        <v>825</v>
      </c>
    </row>
    <row r="221" spans="1:6" x14ac:dyDescent="0.2">
      <c r="A221" t="str">
        <f t="shared" si="3"/>
        <v>ROGERS GROUP-MORGAN CO.  2521  MARTINSVILLE, IN.  2523</v>
      </c>
      <c r="B221" s="134" t="s">
        <v>812</v>
      </c>
      <c r="C221" s="130">
        <v>2521</v>
      </c>
      <c r="D221" s="134">
        <v>2523</v>
      </c>
      <c r="E221" s="131" t="s">
        <v>826</v>
      </c>
      <c r="F221" s="131" t="s">
        <v>827</v>
      </c>
    </row>
    <row r="222" spans="1:6" x14ac:dyDescent="0.2">
      <c r="A222" t="str">
        <f t="shared" si="3"/>
        <v>ROGERS GROUP-MORGAN CO.  2523  MARTINSVILLE, IN.  2523</v>
      </c>
      <c r="B222" s="134" t="s">
        <v>815</v>
      </c>
      <c r="C222" s="130">
        <v>2523</v>
      </c>
      <c r="D222" s="134">
        <v>2523</v>
      </c>
      <c r="E222" s="131" t="s">
        <v>826</v>
      </c>
      <c r="F222" s="131" t="s">
        <v>827</v>
      </c>
    </row>
    <row r="223" spans="1:6" x14ac:dyDescent="0.2">
      <c r="A223" t="str">
        <f t="shared" si="3"/>
        <v>ROGERS GROUP-OLDHAM CO. STONE  2503  CRESTWOOD, KY.  2503</v>
      </c>
      <c r="B223" s="134" t="s">
        <v>828</v>
      </c>
      <c r="C223" s="130">
        <v>2503</v>
      </c>
      <c r="D223" s="134">
        <v>2503</v>
      </c>
      <c r="E223" s="131" t="s">
        <v>829</v>
      </c>
      <c r="F223" s="131" t="s">
        <v>830</v>
      </c>
    </row>
    <row r="224" spans="1:6" x14ac:dyDescent="0.2">
      <c r="A224" t="str">
        <f t="shared" si="3"/>
        <v>ROSKOVENSKY CONCRETE AND GRAV.  2111  CLINTON, IN.  2111</v>
      </c>
      <c r="B224" s="134" t="s">
        <v>831</v>
      </c>
      <c r="C224" s="130">
        <v>2111</v>
      </c>
      <c r="D224" s="134">
        <v>2111</v>
      </c>
      <c r="E224" s="131" t="s">
        <v>832</v>
      </c>
      <c r="F224" s="131" t="s">
        <v>833</v>
      </c>
    </row>
    <row r="225" spans="1:6" x14ac:dyDescent="0.2">
      <c r="A225" t="str">
        <f t="shared" si="3"/>
        <v>RUSH COUNTY STONE COMPANY  2322  MILROY, IN.  2322</v>
      </c>
      <c r="B225" s="134" t="s">
        <v>834</v>
      </c>
      <c r="C225" s="130">
        <v>2322</v>
      </c>
      <c r="D225" s="134">
        <v>2322</v>
      </c>
      <c r="E225" s="131" t="s">
        <v>835</v>
      </c>
      <c r="F225" s="131" t="s">
        <v>836</v>
      </c>
    </row>
    <row r="226" spans="1:6" x14ac:dyDescent="0.2">
      <c r="A226" t="str">
        <f t="shared" si="3"/>
        <v>S AND G EXC. - MORRIS/LOMBARDI  2113  TERRE HAUTE, IN.  2113</v>
      </c>
      <c r="B226" s="134" t="s">
        <v>648</v>
      </c>
      <c r="C226" s="130">
        <v>2113</v>
      </c>
      <c r="D226" s="134">
        <v>2113</v>
      </c>
      <c r="E226" s="131" t="s">
        <v>837</v>
      </c>
      <c r="F226" s="131" t="s">
        <v>838</v>
      </c>
    </row>
    <row r="227" spans="1:6" x14ac:dyDescent="0.2">
      <c r="A227" t="str">
        <f t="shared" si="3"/>
        <v>S AND G EXC. - MORRIS/LOMBARDI  2180  TERRE HAUTE, IN.  2113</v>
      </c>
      <c r="B227" s="134" t="s">
        <v>651</v>
      </c>
      <c r="C227" s="130">
        <v>2180</v>
      </c>
      <c r="D227" s="134">
        <v>2113</v>
      </c>
      <c r="E227" s="131" t="s">
        <v>837</v>
      </c>
      <c r="F227" s="131" t="s">
        <v>838</v>
      </c>
    </row>
    <row r="228" spans="1:6" x14ac:dyDescent="0.2">
      <c r="A228" t="str">
        <f t="shared" si="3"/>
        <v>S AND G EXC. - MORRIS/LOMBARDI  2793  TERRE HAUTE, IN.  2113</v>
      </c>
      <c r="B228" s="134" t="s">
        <v>652</v>
      </c>
      <c r="C228" s="130">
        <v>2793</v>
      </c>
      <c r="D228" s="134">
        <v>2113</v>
      </c>
      <c r="E228" s="131" t="s">
        <v>837</v>
      </c>
      <c r="F228" s="131" t="s">
        <v>838</v>
      </c>
    </row>
    <row r="229" spans="1:6" x14ac:dyDescent="0.2">
      <c r="A229" t="str">
        <f t="shared" si="3"/>
        <v>S AND G EXCAVATING  2163  MONTEZUMA, IN.  2163</v>
      </c>
      <c r="B229" s="134" t="s">
        <v>650</v>
      </c>
      <c r="C229" s="130">
        <v>2163</v>
      </c>
      <c r="D229" s="134">
        <v>2163</v>
      </c>
      <c r="E229" s="131" t="s">
        <v>839</v>
      </c>
      <c r="F229" s="131" t="s">
        <v>840</v>
      </c>
    </row>
    <row r="230" spans="1:6" x14ac:dyDescent="0.2">
      <c r="A230" t="str">
        <f t="shared" si="3"/>
        <v>SAGAMORE SAND AND GRAVEL  2777  DALEVILLE, IN  2777</v>
      </c>
      <c r="B230" s="134" t="s">
        <v>841</v>
      </c>
      <c r="C230" s="130">
        <v>2777</v>
      </c>
      <c r="D230" s="134">
        <v>2777</v>
      </c>
      <c r="E230" s="131" t="s">
        <v>842</v>
      </c>
      <c r="F230" s="131" t="s">
        <v>843</v>
      </c>
    </row>
    <row r="231" spans="1:6" x14ac:dyDescent="0.2">
      <c r="A231" t="str">
        <f t="shared" si="3"/>
        <v>SandG EXCAVATING, INC./KERNS PIT  0086  TERRE HAUTE, IN  0086</v>
      </c>
      <c r="B231" s="134" t="s">
        <v>844</v>
      </c>
      <c r="C231" s="132" t="s">
        <v>845</v>
      </c>
      <c r="D231" s="135" t="s">
        <v>845</v>
      </c>
      <c r="E231" s="131" t="s">
        <v>846</v>
      </c>
      <c r="F231" s="131" t="s">
        <v>847</v>
      </c>
    </row>
    <row r="232" spans="1:6" x14ac:dyDescent="0.2">
      <c r="A232" t="str">
        <f t="shared" si="3"/>
        <v>SEGAL SAND AND GRAVEL  2427  DELPHI, IN.  2427</v>
      </c>
      <c r="B232" s="134" t="s">
        <v>848</v>
      </c>
      <c r="C232" s="130">
        <v>2427</v>
      </c>
      <c r="D232" s="134">
        <v>2427</v>
      </c>
      <c r="E232" s="131" t="s">
        <v>849</v>
      </c>
      <c r="F232" s="131" t="s">
        <v>850</v>
      </c>
    </row>
    <row r="233" spans="1:6" x14ac:dyDescent="0.2">
      <c r="A233" t="str">
        <f t="shared" si="3"/>
        <v>SHELBY MATERIALS  2399  SHELBYVILLE, IN  2399</v>
      </c>
      <c r="B233" s="134" t="s">
        <v>851</v>
      </c>
      <c r="C233" s="130">
        <v>2399</v>
      </c>
      <c r="D233" s="134">
        <v>2399</v>
      </c>
      <c r="E233" s="131" t="s">
        <v>852</v>
      </c>
      <c r="F233" s="131" t="s">
        <v>853</v>
      </c>
    </row>
    <row r="234" spans="1:6" x14ac:dyDescent="0.2">
      <c r="A234" t="str">
        <f t="shared" si="3"/>
        <v>SHELBY MATERIALS  2534  EDINBURG, IN.  2534</v>
      </c>
      <c r="B234" s="134" t="s">
        <v>854</v>
      </c>
      <c r="C234" s="130">
        <v>2534</v>
      </c>
      <c r="D234" s="134">
        <v>2534</v>
      </c>
      <c r="E234" s="131" t="s">
        <v>852</v>
      </c>
      <c r="F234" s="131" t="s">
        <v>855</v>
      </c>
    </row>
    <row r="235" spans="1:6" x14ac:dyDescent="0.2">
      <c r="A235" t="str">
        <f t="shared" si="3"/>
        <v>SOUTH LAKE STONE  0057  HEBRON, IN  0057</v>
      </c>
      <c r="B235" s="134" t="s">
        <v>856</v>
      </c>
      <c r="C235" s="132" t="s">
        <v>857</v>
      </c>
      <c r="D235" s="135" t="s">
        <v>857</v>
      </c>
      <c r="E235" s="131" t="s">
        <v>858</v>
      </c>
      <c r="F235" s="131" t="s">
        <v>859</v>
      </c>
    </row>
    <row r="236" spans="1:6" x14ac:dyDescent="0.2">
      <c r="A236" t="str">
        <f t="shared" si="3"/>
        <v>SPEEDWAY SAND AND GRAVEL, INC  2295  DISKO, IN.  2295</v>
      </c>
      <c r="B236" s="134" t="s">
        <v>860</v>
      </c>
      <c r="C236" s="130">
        <v>2295</v>
      </c>
      <c r="D236" s="134">
        <v>2295</v>
      </c>
      <c r="E236" s="131" t="s">
        <v>861</v>
      </c>
      <c r="F236" s="131" t="s">
        <v>862</v>
      </c>
    </row>
    <row r="237" spans="1:6" x14ac:dyDescent="0.2">
      <c r="A237" t="str">
        <f t="shared" si="3"/>
        <v>SPEEDWAY SAND AND GRAVEL, INC.  0112  FORT WAYNE, IN  0112</v>
      </c>
      <c r="B237" s="134" t="s">
        <v>863</v>
      </c>
      <c r="C237" s="132" t="s">
        <v>864</v>
      </c>
      <c r="D237" s="135" t="s">
        <v>864</v>
      </c>
      <c r="E237" s="131" t="s">
        <v>865</v>
      </c>
      <c r="F237" s="131" t="s">
        <v>441</v>
      </c>
    </row>
    <row r="238" spans="1:6" x14ac:dyDescent="0.2">
      <c r="A238" t="str">
        <f t="shared" si="3"/>
        <v>SPEEDWAY SAND AND GRAVEL, INC.  2701  SOUTH WHITLEY, IN.  2701</v>
      </c>
      <c r="B238" s="134" t="s">
        <v>866</v>
      </c>
      <c r="C238" s="130">
        <v>2701</v>
      </c>
      <c r="D238" s="134">
        <v>2701</v>
      </c>
      <c r="E238" s="131" t="s">
        <v>865</v>
      </c>
      <c r="F238" s="131" t="s">
        <v>867</v>
      </c>
    </row>
    <row r="239" spans="1:6" x14ac:dyDescent="0.2">
      <c r="A239" t="str">
        <f t="shared" si="3"/>
        <v>SPEEDWAY SAND AND GRAVEL, INC.  2703  FORT WAYNE, IN  2703</v>
      </c>
      <c r="B239" s="134" t="s">
        <v>868</v>
      </c>
      <c r="C239" s="130">
        <v>2703</v>
      </c>
      <c r="D239" s="134">
        <v>2703</v>
      </c>
      <c r="E239" s="131" t="s">
        <v>865</v>
      </c>
      <c r="F239" s="131" t="s">
        <v>441</v>
      </c>
    </row>
    <row r="240" spans="1:6" x14ac:dyDescent="0.2">
      <c r="A240" t="str">
        <f t="shared" si="3"/>
        <v>SPRAY SAND AND GRAVEL  2591  SEYMOUR, IN.  2591</v>
      </c>
      <c r="B240" s="134" t="s">
        <v>869</v>
      </c>
      <c r="C240" s="130">
        <v>2591</v>
      </c>
      <c r="D240" s="134">
        <v>2591</v>
      </c>
      <c r="E240" s="131" t="s">
        <v>870</v>
      </c>
      <c r="F240" s="131" t="s">
        <v>871</v>
      </c>
    </row>
    <row r="241" spans="1:6" x14ac:dyDescent="0.2">
      <c r="A241" t="str">
        <f t="shared" si="3"/>
        <v>STAFFORD GRAVEL, INC.  2749  BUTLER, IN  2749</v>
      </c>
      <c r="B241" s="134" t="s">
        <v>549</v>
      </c>
      <c r="C241" s="130">
        <v>2749</v>
      </c>
      <c r="D241" s="134">
        <v>2749</v>
      </c>
      <c r="E241" s="131" t="s">
        <v>872</v>
      </c>
      <c r="F241" s="131" t="s">
        <v>447</v>
      </c>
    </row>
    <row r="242" spans="1:6" x14ac:dyDescent="0.2">
      <c r="A242" t="str">
        <f t="shared" si="3"/>
        <v>STOCKBERGER TRUCKING, INC  2439  PLYMOUTH, IN  2439</v>
      </c>
      <c r="B242" s="134" t="s">
        <v>873</v>
      </c>
      <c r="C242" s="130">
        <v>2439</v>
      </c>
      <c r="D242" s="134">
        <v>2439</v>
      </c>
      <c r="E242" s="131" t="s">
        <v>874</v>
      </c>
      <c r="F242" s="131" t="s">
        <v>875</v>
      </c>
    </row>
    <row r="243" spans="1:6" x14ac:dyDescent="0.2">
      <c r="A243" t="str">
        <f t="shared" si="3"/>
        <v>STONE STREET QUARRIES, INC  2238  POE, IN.  2238</v>
      </c>
      <c r="B243" s="134" t="s">
        <v>876</v>
      </c>
      <c r="C243" s="130">
        <v>2238</v>
      </c>
      <c r="D243" s="134">
        <v>2238</v>
      </c>
      <c r="E243" s="131" t="s">
        <v>877</v>
      </c>
      <c r="F243" s="131" t="s">
        <v>878</v>
      </c>
    </row>
    <row r="244" spans="1:6" x14ac:dyDescent="0.2">
      <c r="A244" t="str">
        <f t="shared" si="3"/>
        <v>STONE STREET QUARRIES, INC  2797  POE, IN.  2238</v>
      </c>
      <c r="B244" s="134" t="s">
        <v>518</v>
      </c>
      <c r="C244" s="130">
        <v>2797</v>
      </c>
      <c r="D244" s="134">
        <v>2238</v>
      </c>
      <c r="E244" s="131" t="s">
        <v>877</v>
      </c>
      <c r="F244" s="131" t="s">
        <v>878</v>
      </c>
    </row>
    <row r="245" spans="1:6" x14ac:dyDescent="0.2">
      <c r="A245" t="str">
        <f t="shared" si="3"/>
        <v>STONECO, CELINA DIVISION  2723  CELINA, OH.  2723</v>
      </c>
      <c r="B245" s="134" t="s">
        <v>879</v>
      </c>
      <c r="C245" s="130">
        <v>2723</v>
      </c>
      <c r="D245" s="134">
        <v>2723</v>
      </c>
      <c r="E245" s="131" t="s">
        <v>880</v>
      </c>
      <c r="F245" s="131" t="s">
        <v>881</v>
      </c>
    </row>
    <row r="246" spans="1:6" x14ac:dyDescent="0.2">
      <c r="A246" t="str">
        <f t="shared" si="3"/>
        <v>U. S. AGGREGATES - PLEAS MILLS  2267  DECATUR, IN.  2267</v>
      </c>
      <c r="B246" s="134" t="s">
        <v>882</v>
      </c>
      <c r="C246" s="130">
        <v>2267</v>
      </c>
      <c r="D246" s="134">
        <v>2267</v>
      </c>
      <c r="E246" s="131" t="s">
        <v>883</v>
      </c>
      <c r="F246" s="131" t="s">
        <v>884</v>
      </c>
    </row>
    <row r="247" spans="1:6" x14ac:dyDescent="0.2">
      <c r="A247" t="str">
        <f t="shared" si="3"/>
        <v>U. S. AGGREGATES INC  2266  LINN GROVE, IN.  2266</v>
      </c>
      <c r="B247" s="134" t="s">
        <v>885</v>
      </c>
      <c r="C247" s="130">
        <v>2266</v>
      </c>
      <c r="D247" s="134">
        <v>2266</v>
      </c>
      <c r="E247" s="131" t="s">
        <v>886</v>
      </c>
      <c r="F247" s="131" t="s">
        <v>887</v>
      </c>
    </row>
    <row r="248" spans="1:6" x14ac:dyDescent="0.2">
      <c r="A248" t="str">
        <f t="shared" si="3"/>
        <v>U. S. AGGREGATES INC  2449  LOWELL, IN.  2449</v>
      </c>
      <c r="B248" s="134" t="s">
        <v>888</v>
      </c>
      <c r="C248" s="130">
        <v>2449</v>
      </c>
      <c r="D248" s="134">
        <v>2449</v>
      </c>
      <c r="E248" s="131" t="s">
        <v>886</v>
      </c>
      <c r="F248" s="131" t="s">
        <v>889</v>
      </c>
    </row>
    <row r="249" spans="1:6" x14ac:dyDescent="0.2">
      <c r="A249" t="str">
        <f t="shared" si="3"/>
        <v>U.S AGGREGATES INC.  2183  FRANCESVILLE, IN.  2461</v>
      </c>
      <c r="B249" s="134" t="s">
        <v>890</v>
      </c>
      <c r="C249" s="130">
        <v>2183</v>
      </c>
      <c r="D249" s="134">
        <v>2461</v>
      </c>
      <c r="E249" s="131" t="s">
        <v>891</v>
      </c>
      <c r="F249" s="131" t="s">
        <v>564</v>
      </c>
    </row>
    <row r="250" spans="1:6" x14ac:dyDescent="0.2">
      <c r="A250" t="str">
        <f t="shared" si="3"/>
        <v>U.S AGGREGATES INC.  2183  FRANCESVILLE, IN.  2461</v>
      </c>
      <c r="B250" s="134" t="s">
        <v>890</v>
      </c>
      <c r="C250" s="130">
        <v>2183</v>
      </c>
      <c r="D250" s="134">
        <v>2461</v>
      </c>
      <c r="E250" s="131" t="s">
        <v>891</v>
      </c>
      <c r="F250" s="131" t="s">
        <v>564</v>
      </c>
    </row>
    <row r="251" spans="1:6" x14ac:dyDescent="0.2">
      <c r="A251" t="str">
        <f t="shared" si="3"/>
        <v>U.S AGGREGATES INC.  2183  MONON, IN.  2428</v>
      </c>
      <c r="B251" s="134" t="s">
        <v>890</v>
      </c>
      <c r="C251" s="130">
        <v>2183</v>
      </c>
      <c r="D251" s="134">
        <v>2428</v>
      </c>
      <c r="E251" s="131" t="s">
        <v>891</v>
      </c>
      <c r="F251" s="131" t="s">
        <v>892</v>
      </c>
    </row>
    <row r="252" spans="1:6" x14ac:dyDescent="0.2">
      <c r="A252" t="str">
        <f t="shared" si="3"/>
        <v>U.S AGGREGATES INC.  2183  MONON, IN.  2428</v>
      </c>
      <c r="B252" s="134" t="s">
        <v>890</v>
      </c>
      <c r="C252" s="130">
        <v>2183</v>
      </c>
      <c r="D252" s="134">
        <v>2428</v>
      </c>
      <c r="E252" s="131" t="s">
        <v>891</v>
      </c>
      <c r="F252" s="131" t="s">
        <v>892</v>
      </c>
    </row>
    <row r="253" spans="1:6" x14ac:dyDescent="0.2">
      <c r="A253" t="str">
        <f t="shared" si="3"/>
        <v>U.S AGGREGATES INC.  2183  MONON, IN.  2428</v>
      </c>
      <c r="B253" s="134" t="s">
        <v>890</v>
      </c>
      <c r="C253" s="130">
        <v>2183</v>
      </c>
      <c r="D253" s="134">
        <v>2428</v>
      </c>
      <c r="E253" s="131" t="s">
        <v>891</v>
      </c>
      <c r="F253" s="131" t="s">
        <v>892</v>
      </c>
    </row>
    <row r="254" spans="1:6" x14ac:dyDescent="0.2">
      <c r="A254" t="str">
        <f t="shared" si="3"/>
        <v>U.S AGGREGATES INC.  2421  FRANCESVILLE, IN.  2461</v>
      </c>
      <c r="B254" s="134" t="s">
        <v>893</v>
      </c>
      <c r="C254" s="130">
        <v>2421</v>
      </c>
      <c r="D254" s="134">
        <v>2461</v>
      </c>
      <c r="E254" s="131" t="s">
        <v>891</v>
      </c>
      <c r="F254" s="131" t="s">
        <v>564</v>
      </c>
    </row>
    <row r="255" spans="1:6" x14ac:dyDescent="0.2">
      <c r="A255" t="str">
        <f t="shared" ref="A255:A292" si="4">E255&amp;"  "&amp;C255&amp;"  "&amp;F255&amp;"  "&amp;D255</f>
        <v>U.S AGGREGATES INC.  2428  FRANCESVILLE, IN.  2461</v>
      </c>
      <c r="B255" s="134" t="s">
        <v>894</v>
      </c>
      <c r="C255" s="130">
        <v>2428</v>
      </c>
      <c r="D255" s="134">
        <v>2461</v>
      </c>
      <c r="E255" s="131" t="s">
        <v>891</v>
      </c>
      <c r="F255" s="131" t="s">
        <v>564</v>
      </c>
    </row>
    <row r="256" spans="1:6" x14ac:dyDescent="0.2">
      <c r="A256" t="str">
        <f t="shared" si="4"/>
        <v>U.S AGGREGATES INC.  2428  MONON, IN.  2428</v>
      </c>
      <c r="B256" s="134" t="s">
        <v>894</v>
      </c>
      <c r="C256" s="130">
        <v>2428</v>
      </c>
      <c r="D256" s="134">
        <v>2428</v>
      </c>
      <c r="E256" s="131" t="s">
        <v>891</v>
      </c>
      <c r="F256" s="131" t="s">
        <v>892</v>
      </c>
    </row>
    <row r="257" spans="1:6" x14ac:dyDescent="0.2">
      <c r="A257" t="str">
        <f t="shared" si="4"/>
        <v>U.S AGGREGATES INC.  2449  FRANCESVILLE, IN.  2461</v>
      </c>
      <c r="B257" s="134" t="s">
        <v>888</v>
      </c>
      <c r="C257" s="130">
        <v>2449</v>
      </c>
      <c r="D257" s="134">
        <v>2461</v>
      </c>
      <c r="E257" s="131" t="s">
        <v>891</v>
      </c>
      <c r="F257" s="131" t="s">
        <v>564</v>
      </c>
    </row>
    <row r="258" spans="1:6" x14ac:dyDescent="0.2">
      <c r="A258" t="str">
        <f t="shared" si="4"/>
        <v>U.S AGGREGATES INC.  2461  FRANCESVILLE, IN.  2461</v>
      </c>
      <c r="B258" s="134" t="s">
        <v>895</v>
      </c>
      <c r="C258" s="130">
        <v>2461</v>
      </c>
      <c r="D258" s="134">
        <v>2461</v>
      </c>
      <c r="E258" s="131" t="s">
        <v>891</v>
      </c>
      <c r="F258" s="131" t="s">
        <v>564</v>
      </c>
    </row>
    <row r="259" spans="1:6" x14ac:dyDescent="0.2">
      <c r="A259" t="str">
        <f t="shared" si="4"/>
        <v>U.S. AGG.INC,-DELPHI LIMESTONE  2136  DELPHI, IN.  2421</v>
      </c>
      <c r="B259" s="134" t="s">
        <v>896</v>
      </c>
      <c r="C259" s="130">
        <v>2136</v>
      </c>
      <c r="D259" s="134">
        <v>2421</v>
      </c>
      <c r="E259" s="131" t="s">
        <v>897</v>
      </c>
      <c r="F259" s="131" t="s">
        <v>850</v>
      </c>
    </row>
    <row r="260" spans="1:6" x14ac:dyDescent="0.2">
      <c r="A260" t="str">
        <f t="shared" si="4"/>
        <v>U.S. AGG.INC,-DELPHI LIMESTONE  2421  DELPHI, IN.  2421</v>
      </c>
      <c r="B260" s="134" t="s">
        <v>893</v>
      </c>
      <c r="C260" s="130">
        <v>2421</v>
      </c>
      <c r="D260" s="134">
        <v>2421</v>
      </c>
      <c r="E260" s="131" t="s">
        <v>897</v>
      </c>
      <c r="F260" s="131" t="s">
        <v>850</v>
      </c>
    </row>
    <row r="261" spans="1:6" x14ac:dyDescent="0.2">
      <c r="A261" t="str">
        <f t="shared" si="4"/>
        <v>U.S. AGG.INC,-DELPHI LIMESTONE  2785  DELPHI, IN.  2421</v>
      </c>
      <c r="B261" s="134" t="s">
        <v>898</v>
      </c>
      <c r="C261" s="130">
        <v>2785</v>
      </c>
      <c r="D261" s="134">
        <v>2421</v>
      </c>
      <c r="E261" s="131" t="s">
        <v>897</v>
      </c>
      <c r="F261" s="131" t="s">
        <v>850</v>
      </c>
    </row>
    <row r="262" spans="1:6" x14ac:dyDescent="0.2">
      <c r="A262" t="str">
        <f t="shared" si="4"/>
        <v>U.S. AGGREGATES - WAVERY  2780  MOORESVILLE, IN  2780</v>
      </c>
      <c r="B262" s="134" t="s">
        <v>899</v>
      </c>
      <c r="C262" s="130">
        <v>2780</v>
      </c>
      <c r="D262" s="134">
        <v>2780</v>
      </c>
      <c r="E262" s="131" t="s">
        <v>900</v>
      </c>
      <c r="F262" s="131" t="s">
        <v>798</v>
      </c>
    </row>
    <row r="263" spans="1:6" x14ac:dyDescent="0.2">
      <c r="A263" t="str">
        <f t="shared" si="4"/>
        <v>U.S. AGGREGATES- THRELKELD PIT  2785  THORNTOWN, IN  2785</v>
      </c>
      <c r="B263" s="134" t="s">
        <v>898</v>
      </c>
      <c r="C263" s="130">
        <v>2785</v>
      </c>
      <c r="D263" s="134">
        <v>2785</v>
      </c>
      <c r="E263" s="131" t="s">
        <v>901</v>
      </c>
      <c r="F263" s="131" t="s">
        <v>902</v>
      </c>
    </row>
    <row r="264" spans="1:6" x14ac:dyDescent="0.2">
      <c r="A264" t="str">
        <f t="shared" si="4"/>
        <v>U.S. AGGREGATES, INC  2980  PERKINSVILLE, IN  2980</v>
      </c>
      <c r="B264" s="134" t="s">
        <v>903</v>
      </c>
      <c r="C264" s="130">
        <v>2980</v>
      </c>
      <c r="D264" s="134">
        <v>2980</v>
      </c>
      <c r="E264" s="131" t="s">
        <v>904</v>
      </c>
      <c r="F264" s="131" t="s">
        <v>905</v>
      </c>
    </row>
    <row r="265" spans="1:6" x14ac:dyDescent="0.2">
      <c r="A265" t="str">
        <f t="shared" si="4"/>
        <v>U.S. AGGREGATES, INC.  2136  CRAWFORDSVILLE, IN  2136</v>
      </c>
      <c r="B265" s="134" t="s">
        <v>896</v>
      </c>
      <c r="C265" s="130">
        <v>2136</v>
      </c>
      <c r="D265" s="134">
        <v>2136</v>
      </c>
      <c r="E265" s="131" t="s">
        <v>906</v>
      </c>
      <c r="F265" s="131" t="s">
        <v>699</v>
      </c>
    </row>
    <row r="266" spans="1:6" x14ac:dyDescent="0.2">
      <c r="A266" t="str">
        <f t="shared" si="4"/>
        <v>U.S. AGGREGATES, INC.  2143  THORNTOWN, IN.  2143</v>
      </c>
      <c r="B266" s="134" t="s">
        <v>907</v>
      </c>
      <c r="C266" s="130">
        <v>2143</v>
      </c>
      <c r="D266" s="134">
        <v>2143</v>
      </c>
      <c r="E266" s="131" t="s">
        <v>906</v>
      </c>
      <c r="F266" s="131" t="s">
        <v>908</v>
      </c>
    </row>
    <row r="267" spans="1:6" x14ac:dyDescent="0.2">
      <c r="A267" t="str">
        <f t="shared" si="4"/>
        <v>U.S. AGGREGATES, INC.  2183  CRAWFORDSVILLE, IN  2136</v>
      </c>
      <c r="B267" s="134" t="s">
        <v>890</v>
      </c>
      <c r="C267" s="130">
        <v>2183</v>
      </c>
      <c r="D267" s="134">
        <v>2136</v>
      </c>
      <c r="E267" s="131" t="s">
        <v>906</v>
      </c>
      <c r="F267" s="131" t="s">
        <v>699</v>
      </c>
    </row>
    <row r="268" spans="1:6" x14ac:dyDescent="0.2">
      <c r="A268" t="str">
        <f t="shared" si="4"/>
        <v>U.S. AGGREGATES, INC.  2183  THORNTOWN, IN.  2143</v>
      </c>
      <c r="B268" s="134" t="s">
        <v>890</v>
      </c>
      <c r="C268" s="130">
        <v>2183</v>
      </c>
      <c r="D268" s="134">
        <v>2143</v>
      </c>
      <c r="E268" s="131" t="s">
        <v>906</v>
      </c>
      <c r="F268" s="131" t="s">
        <v>908</v>
      </c>
    </row>
    <row r="269" spans="1:6" x14ac:dyDescent="0.2">
      <c r="A269" t="str">
        <f t="shared" si="4"/>
        <v>U.S. AGGREGATES, INC.  2331  RICHMOND, IN.  2331</v>
      </c>
      <c r="B269" s="134" t="s">
        <v>909</v>
      </c>
      <c r="C269" s="130">
        <v>2331</v>
      </c>
      <c r="D269" s="134">
        <v>2331</v>
      </c>
      <c r="E269" s="131" t="s">
        <v>906</v>
      </c>
      <c r="F269" s="131" t="s">
        <v>424</v>
      </c>
    </row>
    <row r="270" spans="1:6" x14ac:dyDescent="0.2">
      <c r="A270" t="str">
        <f t="shared" si="4"/>
        <v>U.S. AGGREGATES, INC.  2361  PORTLAND, IN.  2361</v>
      </c>
      <c r="B270" s="134" t="s">
        <v>910</v>
      </c>
      <c r="C270" s="130">
        <v>2361</v>
      </c>
      <c r="D270" s="134">
        <v>2361</v>
      </c>
      <c r="E270" s="131" t="s">
        <v>906</v>
      </c>
      <c r="F270" s="131" t="s">
        <v>911</v>
      </c>
    </row>
    <row r="271" spans="1:6" x14ac:dyDescent="0.2">
      <c r="A271" t="str">
        <f t="shared" si="4"/>
        <v>U.S. AGGREGATES, INC.  2363  RIDGEVILLE, IN.  2363</v>
      </c>
      <c r="B271" s="134" t="s">
        <v>912</v>
      </c>
      <c r="C271" s="130">
        <v>2363</v>
      </c>
      <c r="D271" s="134">
        <v>2363</v>
      </c>
      <c r="E271" s="131" t="s">
        <v>906</v>
      </c>
      <c r="F271" s="131" t="s">
        <v>913</v>
      </c>
    </row>
    <row r="272" spans="1:6" x14ac:dyDescent="0.2">
      <c r="A272" t="str">
        <f t="shared" si="4"/>
        <v>U.S. AGGREGATES, INC.  2535  COLUMBUS, IN.  2535</v>
      </c>
      <c r="B272" s="134" t="s">
        <v>914</v>
      </c>
      <c r="C272" s="130">
        <v>2535</v>
      </c>
      <c r="D272" s="134">
        <v>2535</v>
      </c>
      <c r="E272" s="131" t="s">
        <v>906</v>
      </c>
      <c r="F272" s="131" t="s">
        <v>763</v>
      </c>
    </row>
    <row r="273" spans="1:6" x14ac:dyDescent="0.2">
      <c r="A273" t="str">
        <f t="shared" si="4"/>
        <v>U.S. AGGREGATES, INC. - CAVE  2531  FLAT ROCK, IN.  2531</v>
      </c>
      <c r="B273" s="134" t="s">
        <v>915</v>
      </c>
      <c r="C273" s="130">
        <v>2531</v>
      </c>
      <c r="D273" s="134">
        <v>2531</v>
      </c>
      <c r="E273" s="131" t="s">
        <v>916</v>
      </c>
      <c r="F273" s="131" t="s">
        <v>917</v>
      </c>
    </row>
    <row r="274" spans="1:6" x14ac:dyDescent="0.2">
      <c r="A274" t="str">
        <f t="shared" si="4"/>
        <v>U.S.AGGREGATES INC-SWISHER RD  2136  BATTLEGROUND, IN  2183</v>
      </c>
      <c r="B274" s="134" t="s">
        <v>896</v>
      </c>
      <c r="C274" s="130">
        <v>2136</v>
      </c>
      <c r="D274" s="134">
        <v>2183</v>
      </c>
      <c r="E274" s="131" t="s">
        <v>918</v>
      </c>
      <c r="F274" s="131" t="s">
        <v>919</v>
      </c>
    </row>
    <row r="275" spans="1:6" x14ac:dyDescent="0.2">
      <c r="A275" t="str">
        <f t="shared" si="4"/>
        <v>U.S.AGGREGATES INC-SWISHER RD  2143  BATTLEGROUND, IN  2183</v>
      </c>
      <c r="B275" s="134" t="s">
        <v>907</v>
      </c>
      <c r="C275" s="130">
        <v>2143</v>
      </c>
      <c r="D275" s="134">
        <v>2183</v>
      </c>
      <c r="E275" s="131" t="s">
        <v>918</v>
      </c>
      <c r="F275" s="131" t="s">
        <v>919</v>
      </c>
    </row>
    <row r="276" spans="1:6" x14ac:dyDescent="0.2">
      <c r="A276" t="str">
        <f t="shared" si="4"/>
        <v>U.S.AGGREGATES INC-SWISHER RD  2183  BATTLEGROUND, IN  2183</v>
      </c>
      <c r="B276" s="135" t="s">
        <v>890</v>
      </c>
      <c r="C276" s="130" t="s">
        <v>920</v>
      </c>
      <c r="D276" s="134" t="s">
        <v>920</v>
      </c>
      <c r="E276" s="131" t="s">
        <v>918</v>
      </c>
      <c r="F276" s="131" t="s">
        <v>919</v>
      </c>
    </row>
    <row r="277" spans="1:6" x14ac:dyDescent="0.2">
      <c r="A277" t="str">
        <f t="shared" si="4"/>
        <v>UNKNOWN SOURCE  2572    9996</v>
      </c>
      <c r="B277" s="134" t="s">
        <v>625</v>
      </c>
      <c r="C277" s="130">
        <v>2572</v>
      </c>
      <c r="D277" s="134">
        <v>9996</v>
      </c>
      <c r="E277" s="131" t="s">
        <v>921</v>
      </c>
      <c r="F277" s="133"/>
    </row>
    <row r="278" spans="1:6" x14ac:dyDescent="0.2">
      <c r="A278" t="str">
        <f t="shared" si="4"/>
        <v>VCNA PRAIRIE AGGREGATE   0097  LOWELL, IN  0097</v>
      </c>
      <c r="B278" s="134" t="s">
        <v>922</v>
      </c>
      <c r="C278" s="132" t="s">
        <v>923</v>
      </c>
      <c r="D278" s="135" t="s">
        <v>923</v>
      </c>
      <c r="E278" s="131" t="s">
        <v>924</v>
      </c>
      <c r="F278" s="131" t="s">
        <v>925</v>
      </c>
    </row>
    <row r="279" spans="1:6" x14ac:dyDescent="0.2">
      <c r="A279" t="str">
        <f t="shared" si="4"/>
        <v>VCNA PRAIRIE AGGREGATE, IN,INC  2687  BLOOMFIELD, IN  2687</v>
      </c>
      <c r="B279" s="134" t="s">
        <v>926</v>
      </c>
      <c r="C279" s="130">
        <v>2687</v>
      </c>
      <c r="D279" s="134">
        <v>2687</v>
      </c>
      <c r="E279" s="131" t="s">
        <v>927</v>
      </c>
      <c r="F279" s="131" t="s">
        <v>928</v>
      </c>
    </row>
    <row r="280" spans="1:6" x14ac:dyDescent="0.2">
      <c r="A280" t="str">
        <f t="shared" si="4"/>
        <v>VCNA PRAIRIE AGGREGATE, IN,INC  2788  WAVERLY, IN  2788</v>
      </c>
      <c r="B280" s="134" t="s">
        <v>929</v>
      </c>
      <c r="C280" s="130">
        <v>2788</v>
      </c>
      <c r="D280" s="134">
        <v>2788</v>
      </c>
      <c r="E280" s="131" t="s">
        <v>927</v>
      </c>
      <c r="F280" s="131" t="s">
        <v>429</v>
      </c>
    </row>
    <row r="281" spans="1:6" x14ac:dyDescent="0.2">
      <c r="A281" t="str">
        <f t="shared" si="4"/>
        <v>VULCAN MATERIALS  2477  KANKAKEE, ILL.  2477</v>
      </c>
      <c r="B281" s="134" t="s">
        <v>930</v>
      </c>
      <c r="C281" s="130">
        <v>2477</v>
      </c>
      <c r="D281" s="134">
        <v>2477</v>
      </c>
      <c r="E281" s="131" t="s">
        <v>931</v>
      </c>
      <c r="F281" s="131" t="s">
        <v>932</v>
      </c>
    </row>
    <row r="282" spans="1:6" x14ac:dyDescent="0.2">
      <c r="A282" t="str">
        <f t="shared" si="4"/>
        <v>VULCAN MATERIALS CO HARRISON  2546  CORYDON, IN.  2546</v>
      </c>
      <c r="B282" s="134" t="s">
        <v>933</v>
      </c>
      <c r="C282" s="130">
        <v>2546</v>
      </c>
      <c r="D282" s="134">
        <v>2546</v>
      </c>
      <c r="E282" s="131" t="s">
        <v>934</v>
      </c>
      <c r="F282" s="131" t="s">
        <v>626</v>
      </c>
    </row>
    <row r="283" spans="1:6" x14ac:dyDescent="0.2">
      <c r="A283" t="str">
        <f t="shared" si="4"/>
        <v>WABASH SAND AND GRAVEL  2174  WILLIAMSPORT, IN.  2174</v>
      </c>
      <c r="B283" s="134" t="s">
        <v>935</v>
      </c>
      <c r="C283" s="130">
        <v>2174</v>
      </c>
      <c r="D283" s="134">
        <v>2174</v>
      </c>
      <c r="E283" s="131" t="s">
        <v>936</v>
      </c>
      <c r="F283" s="131" t="s">
        <v>937</v>
      </c>
    </row>
    <row r="284" spans="1:6" x14ac:dyDescent="0.2">
      <c r="A284" t="str">
        <f t="shared" si="4"/>
        <v>WARD STONE, LLC  2798  FLAT ROCK, IN  2798</v>
      </c>
      <c r="B284" s="134" t="s">
        <v>938</v>
      </c>
      <c r="C284" s="130">
        <v>2798</v>
      </c>
      <c r="D284" s="134">
        <v>2798</v>
      </c>
      <c r="E284" s="131" t="s">
        <v>939</v>
      </c>
      <c r="F284" s="131" t="s">
        <v>940</v>
      </c>
    </row>
    <row r="285" spans="1:6" x14ac:dyDescent="0.2">
      <c r="A285" t="str">
        <f t="shared" si="4"/>
        <v>WATSON GRAVEL INC - PLANT #2  2786  HARRISON, OH.  2786</v>
      </c>
      <c r="B285" s="134" t="s">
        <v>941</v>
      </c>
      <c r="C285" s="130">
        <v>2786</v>
      </c>
      <c r="D285" s="134">
        <v>2786</v>
      </c>
      <c r="E285" s="131" t="s">
        <v>942</v>
      </c>
      <c r="F285" s="131" t="s">
        <v>943</v>
      </c>
    </row>
    <row r="286" spans="1:6" x14ac:dyDescent="0.2">
      <c r="A286" t="str">
        <f t="shared" si="4"/>
        <v>WEST PLAINS MINING/KENTNER CRE  0077  WABASH, IN  0077</v>
      </c>
      <c r="B286" s="134" t="s">
        <v>944</v>
      </c>
      <c r="C286" s="132" t="s">
        <v>945</v>
      </c>
      <c r="D286" s="135" t="s">
        <v>945</v>
      </c>
      <c r="E286" s="131" t="s">
        <v>946</v>
      </c>
      <c r="F286" s="131" t="s">
        <v>947</v>
      </c>
    </row>
    <row r="287" spans="1:6" x14ac:dyDescent="0.2">
      <c r="A287" t="str">
        <f t="shared" si="4"/>
        <v>WHITE RIVER GRAVEL CO., INC.  2782  WAVERLY, IN  2782</v>
      </c>
      <c r="B287" s="134" t="s">
        <v>948</v>
      </c>
      <c r="C287" s="130">
        <v>2782</v>
      </c>
      <c r="D287" s="134">
        <v>2782</v>
      </c>
      <c r="E287" s="131" t="s">
        <v>949</v>
      </c>
      <c r="F287" s="131" t="s">
        <v>429</v>
      </c>
    </row>
    <row r="288" spans="1:6" x14ac:dyDescent="0.2">
      <c r="A288" t="str">
        <f t="shared" si="4"/>
        <v>WHITESVILLE MILL SERVICE  2110  CRAWFORDSVILLE, IN  2110</v>
      </c>
      <c r="B288" s="134" t="s">
        <v>950</v>
      </c>
      <c r="C288" s="130">
        <v>2110</v>
      </c>
      <c r="D288" s="134">
        <v>2110</v>
      </c>
      <c r="E288" s="131" t="s">
        <v>951</v>
      </c>
      <c r="F288" s="131" t="s">
        <v>699</v>
      </c>
    </row>
    <row r="289" spans="1:6" x14ac:dyDescent="0.2">
      <c r="A289" t="str">
        <f t="shared" si="4"/>
        <v>WILHELM GRAVEL, CO. INC.  2245  WATERLOO, IN.  2245</v>
      </c>
      <c r="B289" s="134" t="s">
        <v>952</v>
      </c>
      <c r="C289" s="130">
        <v>2245</v>
      </c>
      <c r="D289" s="134">
        <v>2245</v>
      </c>
      <c r="E289" s="131" t="s">
        <v>953</v>
      </c>
      <c r="F289" s="131" t="s">
        <v>954</v>
      </c>
    </row>
    <row r="290" spans="1:6" x14ac:dyDescent="0.2">
      <c r="A290" t="str">
        <f t="shared" si="4"/>
        <v>YAGER MATERIALS, INC.  2638  OWENSBORO, KY.  2638</v>
      </c>
      <c r="B290" s="134" t="s">
        <v>955</v>
      </c>
      <c r="C290" s="130">
        <v>2638</v>
      </c>
      <c r="D290" s="134">
        <v>2638</v>
      </c>
      <c r="E290" s="131" t="s">
        <v>956</v>
      </c>
      <c r="F290" s="131" t="s">
        <v>957</v>
      </c>
    </row>
    <row r="291" spans="1:6" x14ac:dyDescent="0.2">
      <c r="A291" t="str">
        <f t="shared" si="4"/>
        <v>YAGER MATERIALS, INC.  2970  OWENSBORO, KY.  2638</v>
      </c>
      <c r="B291" s="134" t="s">
        <v>498</v>
      </c>
      <c r="C291" s="130">
        <v>2970</v>
      </c>
      <c r="D291" s="134">
        <v>2638</v>
      </c>
      <c r="E291" s="131" t="s">
        <v>956</v>
      </c>
      <c r="F291" s="131" t="s">
        <v>957</v>
      </c>
    </row>
    <row r="292" spans="1:6" x14ac:dyDescent="0.2">
      <c r="A292" t="str">
        <f t="shared" si="4"/>
        <v>YELLOW CREEK GRAVEL SERVICES  0125  GOSHEN, IN  0125</v>
      </c>
      <c r="B292" s="134" t="s">
        <v>958</v>
      </c>
      <c r="C292" s="130" t="s">
        <v>959</v>
      </c>
      <c r="D292" s="134" t="s">
        <v>959</v>
      </c>
      <c r="E292" s="131" t="s">
        <v>960</v>
      </c>
      <c r="F292" s="131" t="s">
        <v>961</v>
      </c>
    </row>
  </sheetData>
  <sheetProtection algorithmName="SHA-512" hashValue="N5kP76wP0raTELQ+s3D51g836AZ0CE0TbzPfp7yC1t0ngYgp6NJPGj+aJJYxqQB+UfBs75AkfpTrz8ucGPsDBA==" saltValue="A7GGcUvJSs9SXCGA7u3Egw=="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5"/>
  <sheetViews>
    <sheetView workbookViewId="0">
      <selection activeCell="E21" sqref="E21"/>
    </sheetView>
  </sheetViews>
  <sheetFormatPr defaultRowHeight="12.75" x14ac:dyDescent="0.2"/>
  <cols>
    <col min="1" max="1" width="82.28515625" style="42" customWidth="1"/>
    <col min="2" max="2" width="9" style="45" customWidth="1"/>
    <col min="3" max="3" width="9.140625" customWidth="1"/>
  </cols>
  <sheetData>
    <row r="1" spans="1:2" ht="13.5" x14ac:dyDescent="0.2">
      <c r="A1" s="44" t="s">
        <v>962</v>
      </c>
      <c r="B1" s="43" t="s">
        <v>963</v>
      </c>
    </row>
    <row r="2" spans="1:2" ht="13.5" x14ac:dyDescent="0.2">
      <c r="A2" s="44" t="s">
        <v>964</v>
      </c>
      <c r="B2" s="43">
        <v>118350</v>
      </c>
    </row>
    <row r="3" spans="1:2" ht="13.5" x14ac:dyDescent="0.2">
      <c r="A3" s="44" t="s">
        <v>965</v>
      </c>
      <c r="B3" s="43" t="s">
        <v>966</v>
      </c>
    </row>
    <row r="4" spans="1:2" ht="13.5" x14ac:dyDescent="0.2">
      <c r="A4" s="44" t="s">
        <v>967</v>
      </c>
      <c r="B4" s="43" t="s">
        <v>968</v>
      </c>
    </row>
    <row r="5" spans="1:2" ht="13.5" x14ac:dyDescent="0.2">
      <c r="A5" s="44" t="s">
        <v>969</v>
      </c>
      <c r="B5" s="43" t="s">
        <v>970</v>
      </c>
    </row>
    <row r="6" spans="1:2" ht="13.5" x14ac:dyDescent="0.2">
      <c r="A6" s="44" t="s">
        <v>971</v>
      </c>
      <c r="B6" s="43" t="s">
        <v>972</v>
      </c>
    </row>
    <row r="7" spans="1:2" ht="13.5" x14ac:dyDescent="0.2">
      <c r="A7" s="44" t="s">
        <v>182</v>
      </c>
      <c r="B7" s="43" t="s">
        <v>973</v>
      </c>
    </row>
    <row r="8" spans="1:2" ht="13.5" x14ac:dyDescent="0.2">
      <c r="A8" s="44" t="s">
        <v>974</v>
      </c>
      <c r="B8" s="43" t="s">
        <v>975</v>
      </c>
    </row>
    <row r="9" spans="1:2" ht="13.5" x14ac:dyDescent="0.2">
      <c r="A9" s="44" t="s">
        <v>976</v>
      </c>
      <c r="B9" s="43" t="s">
        <v>977</v>
      </c>
    </row>
    <row r="10" spans="1:2" ht="13.5" x14ac:dyDescent="0.2">
      <c r="A10" s="44" t="s">
        <v>978</v>
      </c>
      <c r="B10" s="43" t="s">
        <v>979</v>
      </c>
    </row>
    <row r="11" spans="1:2" ht="13.5" x14ac:dyDescent="0.2">
      <c r="A11" s="46" t="s">
        <v>980</v>
      </c>
      <c r="B11" s="180" t="s">
        <v>981</v>
      </c>
    </row>
    <row r="12" spans="1:2" ht="13.5" x14ac:dyDescent="0.2">
      <c r="A12" s="44" t="s">
        <v>982</v>
      </c>
      <c r="B12" s="43" t="s">
        <v>983</v>
      </c>
    </row>
    <row r="13" spans="1:2" ht="13.5" x14ac:dyDescent="0.2">
      <c r="A13" s="44" t="s">
        <v>984</v>
      </c>
      <c r="B13" s="43" t="s">
        <v>985</v>
      </c>
    </row>
    <row r="14" spans="1:2" ht="13.5" x14ac:dyDescent="0.2">
      <c r="A14" s="44" t="s">
        <v>986</v>
      </c>
      <c r="B14" s="43" t="s">
        <v>987</v>
      </c>
    </row>
    <row r="15" spans="1:2" ht="13.5" x14ac:dyDescent="0.2">
      <c r="A15" s="44" t="s">
        <v>988</v>
      </c>
      <c r="B15" s="43" t="s">
        <v>989</v>
      </c>
    </row>
    <row r="16" spans="1:2" ht="13.5" x14ac:dyDescent="0.2">
      <c r="A16" s="44" t="s">
        <v>990</v>
      </c>
      <c r="B16" s="43" t="s">
        <v>991</v>
      </c>
    </row>
    <row r="17" spans="1:2" ht="13.5" x14ac:dyDescent="0.2">
      <c r="A17" s="44" t="s">
        <v>992</v>
      </c>
      <c r="B17" s="45">
        <v>158351</v>
      </c>
    </row>
    <row r="18" spans="1:2" ht="13.5" x14ac:dyDescent="0.2">
      <c r="A18" s="44" t="s">
        <v>993</v>
      </c>
      <c r="B18" s="43" t="s">
        <v>994</v>
      </c>
    </row>
    <row r="19" spans="1:2" ht="13.5" x14ac:dyDescent="0.2">
      <c r="A19" s="44" t="s">
        <v>995</v>
      </c>
      <c r="B19" s="45">
        <v>118370</v>
      </c>
    </row>
    <row r="20" spans="1:2" ht="13.5" x14ac:dyDescent="0.2">
      <c r="A20" s="44" t="s">
        <v>996</v>
      </c>
      <c r="B20" s="43" t="s">
        <v>997</v>
      </c>
    </row>
    <row r="21" spans="1:2" ht="13.5" x14ac:dyDescent="0.2">
      <c r="A21" s="44" t="s">
        <v>998</v>
      </c>
      <c r="B21" s="43" t="s">
        <v>999</v>
      </c>
    </row>
    <row r="22" spans="1:2" ht="13.5" x14ac:dyDescent="0.2">
      <c r="A22" s="44" t="s">
        <v>1000</v>
      </c>
      <c r="B22" s="43" t="s">
        <v>1001</v>
      </c>
    </row>
    <row r="23" spans="1:2" ht="13.5" x14ac:dyDescent="0.2">
      <c r="A23" s="44" t="s">
        <v>1002</v>
      </c>
      <c r="B23" s="43" t="s">
        <v>1003</v>
      </c>
    </row>
    <row r="24" spans="1:2" ht="13.5" x14ac:dyDescent="0.2">
      <c r="A24" s="44" t="s">
        <v>1004</v>
      </c>
      <c r="B24" s="43" t="s">
        <v>1005</v>
      </c>
    </row>
    <row r="25" spans="1:2" ht="13.5" x14ac:dyDescent="0.2">
      <c r="A25" s="44" t="s">
        <v>1846</v>
      </c>
      <c r="B25" s="43" t="s">
        <v>1845</v>
      </c>
    </row>
    <row r="26" spans="1:2" ht="13.5" x14ac:dyDescent="0.2">
      <c r="A26" s="44" t="s">
        <v>1844</v>
      </c>
      <c r="B26" s="43" t="s">
        <v>1843</v>
      </c>
    </row>
    <row r="27" spans="1:2" ht="13.5" x14ac:dyDescent="0.2">
      <c r="A27" s="44" t="s">
        <v>1006</v>
      </c>
      <c r="B27" s="43" t="s">
        <v>1007</v>
      </c>
    </row>
    <row r="28" spans="1:2" ht="13.5" x14ac:dyDescent="0.2">
      <c r="A28" s="44" t="s">
        <v>1008</v>
      </c>
      <c r="B28" s="43" t="s">
        <v>1009</v>
      </c>
    </row>
    <row r="29" spans="1:2" ht="13.5" x14ac:dyDescent="0.2">
      <c r="A29" s="44" t="s">
        <v>1837</v>
      </c>
      <c r="B29" s="43" t="s">
        <v>1838</v>
      </c>
    </row>
    <row r="30" spans="1:2" ht="13.5" x14ac:dyDescent="0.2">
      <c r="A30" s="44" t="s">
        <v>1010</v>
      </c>
      <c r="B30" s="43" t="s">
        <v>1011</v>
      </c>
    </row>
    <row r="31" spans="1:2" ht="13.5" x14ac:dyDescent="0.2">
      <c r="A31" s="44" t="s">
        <v>1012</v>
      </c>
      <c r="B31" s="45">
        <v>118360</v>
      </c>
    </row>
    <row r="32" spans="1:2" ht="13.5" x14ac:dyDescent="0.2">
      <c r="A32" s="44" t="s">
        <v>1013</v>
      </c>
      <c r="B32" s="45" t="s">
        <v>1014</v>
      </c>
    </row>
    <row r="33" spans="1:2" ht="13.5" x14ac:dyDescent="0.2">
      <c r="A33" s="44" t="s">
        <v>1015</v>
      </c>
      <c r="B33" s="43" t="s">
        <v>1016</v>
      </c>
    </row>
    <row r="34" spans="1:2" ht="13.5" x14ac:dyDescent="0.2">
      <c r="A34" s="46" t="s">
        <v>1017</v>
      </c>
      <c r="B34" s="43" t="s">
        <v>1018</v>
      </c>
    </row>
    <row r="35" spans="1:2" ht="13.5" x14ac:dyDescent="0.2">
      <c r="A35" s="46" t="s">
        <v>1019</v>
      </c>
      <c r="B35" s="43" t="s">
        <v>1020</v>
      </c>
    </row>
    <row r="36" spans="1:2" ht="13.5" x14ac:dyDescent="0.2">
      <c r="A36" s="46" t="s">
        <v>1021</v>
      </c>
      <c r="B36" s="43" t="s">
        <v>1022</v>
      </c>
    </row>
    <row r="37" spans="1:2" ht="13.5" x14ac:dyDescent="0.2">
      <c r="A37" s="119" t="s">
        <v>1023</v>
      </c>
      <c r="B37" s="43"/>
    </row>
    <row r="38" spans="1:2" x14ac:dyDescent="0.2">
      <c r="A38" s="48" t="s">
        <v>1024</v>
      </c>
      <c r="B38" s="49" t="s">
        <v>1025</v>
      </c>
    </row>
    <row r="39" spans="1:2" x14ac:dyDescent="0.2">
      <c r="A39" s="48" t="s">
        <v>1026</v>
      </c>
      <c r="B39" s="47">
        <v>118150</v>
      </c>
    </row>
    <row r="40" spans="1:2" x14ac:dyDescent="0.2">
      <c r="A40" s="48" t="s">
        <v>1027</v>
      </c>
      <c r="B40" s="47">
        <v>118151</v>
      </c>
    </row>
    <row r="41" spans="1:2" x14ac:dyDescent="0.2">
      <c r="A41" s="48" t="s">
        <v>1028</v>
      </c>
      <c r="B41" s="49" t="s">
        <v>1029</v>
      </c>
    </row>
    <row r="42" spans="1:2" x14ac:dyDescent="0.2">
      <c r="A42" s="48" t="s">
        <v>1030</v>
      </c>
      <c r="B42" s="47">
        <v>178150</v>
      </c>
    </row>
    <row r="43" spans="1:2" x14ac:dyDescent="0.2">
      <c r="A43" s="48" t="s">
        <v>1031</v>
      </c>
      <c r="B43" s="47">
        <v>148150</v>
      </c>
    </row>
    <row r="44" spans="1:2" x14ac:dyDescent="0.2">
      <c r="A44" s="48" t="s">
        <v>1032</v>
      </c>
      <c r="B44" s="47">
        <v>178155</v>
      </c>
    </row>
    <row r="45" spans="1:2" x14ac:dyDescent="0.2">
      <c r="A45" s="48" t="s">
        <v>1033</v>
      </c>
      <c r="B45" s="49" t="s">
        <v>1034</v>
      </c>
    </row>
    <row r="46" spans="1:2" x14ac:dyDescent="0.2">
      <c r="A46" s="48" t="s">
        <v>1035</v>
      </c>
      <c r="B46" s="47">
        <v>158111</v>
      </c>
    </row>
    <row r="47" spans="1:2" x14ac:dyDescent="0.2">
      <c r="A47" s="48" t="s">
        <v>1036</v>
      </c>
      <c r="B47" s="49" t="s">
        <v>1037</v>
      </c>
    </row>
    <row r="48" spans="1:2" x14ac:dyDescent="0.2">
      <c r="A48" s="48" t="s">
        <v>1038</v>
      </c>
      <c r="B48" s="168">
        <v>208150</v>
      </c>
    </row>
    <row r="49" spans="1:2" x14ac:dyDescent="0.2">
      <c r="A49" s="118" t="s">
        <v>1039</v>
      </c>
      <c r="B49" s="47"/>
    </row>
    <row r="50" spans="1:2" x14ac:dyDescent="0.2">
      <c r="A50" s="48" t="s">
        <v>1040</v>
      </c>
      <c r="B50" s="47" t="s">
        <v>1041</v>
      </c>
    </row>
    <row r="51" spans="1:2" x14ac:dyDescent="0.2">
      <c r="A51" s="48" t="s">
        <v>1042</v>
      </c>
      <c r="B51" s="47" t="s">
        <v>1043</v>
      </c>
    </row>
    <row r="52" spans="1:2" x14ac:dyDescent="0.2">
      <c r="A52" s="48" t="s">
        <v>1044</v>
      </c>
      <c r="B52" s="47">
        <v>178110</v>
      </c>
    </row>
    <row r="53" spans="1:2" x14ac:dyDescent="0.2">
      <c r="A53" s="48" t="s">
        <v>1045</v>
      </c>
      <c r="B53" s="47">
        <v>178120</v>
      </c>
    </row>
    <row r="54" spans="1:2" x14ac:dyDescent="0.2">
      <c r="A54" s="48" t="s">
        <v>1046</v>
      </c>
      <c r="B54" s="47">
        <v>178130</v>
      </c>
    </row>
    <row r="55" spans="1:2" x14ac:dyDescent="0.2">
      <c r="A55" s="48" t="s">
        <v>1047</v>
      </c>
      <c r="B55" s="47">
        <v>178160</v>
      </c>
    </row>
    <row r="56" spans="1:2" x14ac:dyDescent="0.2">
      <c r="A56" s="48" t="s">
        <v>1048</v>
      </c>
      <c r="B56" s="47">
        <v>178165</v>
      </c>
    </row>
    <row r="57" spans="1:2" x14ac:dyDescent="0.2">
      <c r="A57" s="48" t="s">
        <v>1049</v>
      </c>
      <c r="B57" s="47" t="s">
        <v>1050</v>
      </c>
    </row>
    <row r="58" spans="1:2" x14ac:dyDescent="0.2">
      <c r="A58" s="48" t="s">
        <v>1051</v>
      </c>
      <c r="B58" s="47">
        <v>168150</v>
      </c>
    </row>
    <row r="59" spans="1:2" x14ac:dyDescent="0.2">
      <c r="A59" s="48" t="s">
        <v>1052</v>
      </c>
      <c r="B59" s="47">
        <v>178152</v>
      </c>
    </row>
    <row r="60" spans="1:2" x14ac:dyDescent="0.2">
      <c r="A60" s="48" t="s">
        <v>1053</v>
      </c>
      <c r="B60" s="47" t="s">
        <v>1054</v>
      </c>
    </row>
    <row r="61" spans="1:2" x14ac:dyDescent="0.2">
      <c r="A61" s="48" t="s">
        <v>1055</v>
      </c>
      <c r="B61" s="49" t="s">
        <v>1056</v>
      </c>
    </row>
    <row r="62" spans="1:2" x14ac:dyDescent="0.2">
      <c r="A62" s="48" t="s">
        <v>1057</v>
      </c>
      <c r="B62" s="49" t="s">
        <v>1058</v>
      </c>
    </row>
    <row r="63" spans="1:2" x14ac:dyDescent="0.2">
      <c r="A63" s="48" t="s">
        <v>1832</v>
      </c>
      <c r="B63" s="49" t="s">
        <v>1833</v>
      </c>
    </row>
    <row r="64" spans="1:2" x14ac:dyDescent="0.2">
      <c r="A64" s="48" t="s">
        <v>1059</v>
      </c>
      <c r="B64" s="49" t="s">
        <v>1060</v>
      </c>
    </row>
    <row r="65" spans="1:2" x14ac:dyDescent="0.2">
      <c r="A65" s="118" t="s">
        <v>1061</v>
      </c>
      <c r="B65" s="47"/>
    </row>
    <row r="66" spans="1:2" x14ac:dyDescent="0.2">
      <c r="A66" s="48" t="s">
        <v>1062</v>
      </c>
      <c r="B66" s="49" t="s">
        <v>1063</v>
      </c>
    </row>
    <row r="67" spans="1:2" x14ac:dyDescent="0.2">
      <c r="A67" s="48" t="s">
        <v>1064</v>
      </c>
      <c r="B67" s="49" t="s">
        <v>1065</v>
      </c>
    </row>
    <row r="68" spans="1:2" x14ac:dyDescent="0.2">
      <c r="A68" s="48" t="s">
        <v>1066</v>
      </c>
      <c r="B68" s="49" t="s">
        <v>1067</v>
      </c>
    </row>
    <row r="69" spans="1:2" x14ac:dyDescent="0.2">
      <c r="A69" s="48" t="s">
        <v>1068</v>
      </c>
      <c r="B69" s="47">
        <v>178175</v>
      </c>
    </row>
    <row r="70" spans="1:2" x14ac:dyDescent="0.2">
      <c r="A70" s="48" t="s">
        <v>1069</v>
      </c>
      <c r="B70" s="49" t="s">
        <v>1070</v>
      </c>
    </row>
    <row r="71" spans="1:2" x14ac:dyDescent="0.2">
      <c r="A71" s="48" t="s">
        <v>1071</v>
      </c>
      <c r="B71" s="49" t="s">
        <v>1072</v>
      </c>
    </row>
    <row r="72" spans="1:2" x14ac:dyDescent="0.2">
      <c r="A72" s="118" t="s">
        <v>1073</v>
      </c>
      <c r="B72" s="49"/>
    </row>
    <row r="73" spans="1:2" x14ac:dyDescent="0.2">
      <c r="A73" s="48" t="s">
        <v>1074</v>
      </c>
      <c r="B73" s="49" t="s">
        <v>1075</v>
      </c>
    </row>
    <row r="74" spans="1:2" x14ac:dyDescent="0.2">
      <c r="A74" s="48" t="s">
        <v>1076</v>
      </c>
      <c r="B74" s="47">
        <v>178162</v>
      </c>
    </row>
    <row r="75" spans="1:2" x14ac:dyDescent="0.2">
      <c r="A75" s="48" t="s">
        <v>1077</v>
      </c>
      <c r="B75" s="47">
        <v>168165</v>
      </c>
    </row>
    <row r="76" spans="1:2" x14ac:dyDescent="0.2">
      <c r="A76" s="48" t="s">
        <v>1078</v>
      </c>
      <c r="B76" s="47" t="s">
        <v>1005</v>
      </c>
    </row>
    <row r="77" spans="1:2" x14ac:dyDescent="0.2">
      <c r="A77" s="48" t="s">
        <v>1079</v>
      </c>
      <c r="B77" s="47">
        <v>108153</v>
      </c>
    </row>
    <row r="78" spans="1:2" x14ac:dyDescent="0.2">
      <c r="A78" s="48" t="s">
        <v>1080</v>
      </c>
      <c r="B78" s="47" t="s">
        <v>1081</v>
      </c>
    </row>
    <row r="79" spans="1:2" x14ac:dyDescent="0.2">
      <c r="A79" s="48" t="s">
        <v>1082</v>
      </c>
      <c r="B79" s="47">
        <v>178163</v>
      </c>
    </row>
    <row r="80" spans="1:2" x14ac:dyDescent="0.2">
      <c r="A80" s="48" t="s">
        <v>1083</v>
      </c>
      <c r="B80" s="49" t="s">
        <v>1084</v>
      </c>
    </row>
    <row r="81" spans="1:2" x14ac:dyDescent="0.2">
      <c r="A81" s="48" t="s">
        <v>1085</v>
      </c>
      <c r="B81" s="47">
        <v>148160</v>
      </c>
    </row>
    <row r="82" spans="1:2" x14ac:dyDescent="0.2">
      <c r="A82" s="48" t="s">
        <v>1086</v>
      </c>
      <c r="B82" s="47" t="s">
        <v>1087</v>
      </c>
    </row>
    <row r="83" spans="1:2" x14ac:dyDescent="0.2">
      <c r="A83" s="118" t="s">
        <v>1088</v>
      </c>
      <c r="B83" s="47"/>
    </row>
    <row r="84" spans="1:2" x14ac:dyDescent="0.2">
      <c r="A84" s="48" t="s">
        <v>1089</v>
      </c>
      <c r="B84" s="49" t="s">
        <v>1090</v>
      </c>
    </row>
    <row r="85" spans="1:2" x14ac:dyDescent="0.2">
      <c r="A85" s="48" t="s">
        <v>1091</v>
      </c>
      <c r="B85" s="49" t="s">
        <v>1092</v>
      </c>
    </row>
  </sheetData>
  <sheetProtection algorithmName="SHA-512" hashValue="DnKBBs/fOBTyqwdu8h2p/B+CXKCzN8lh8IzXEspX4hWfExZtdzgQaC1SGS5VsDWjzEwAVw7dGTIPwatdZw83QA==" saltValue="m/mCmcuW9LTyGeX/FW4XpQ==" spinCount="100000" sheet="1" objects="1" scenarios="1" selectLockedCells="1" selectUnlockedCells="1"/>
  <pageMargins left="0.7" right="0.7" top="0.75" bottom="0.75" header="0.3" footer="0.3"/>
  <pageSetup orientation="portrait" r:id="rId1"/>
  <ignoredErrors>
    <ignoredError sqref="B1 B65:B73 B78 B80:B1048576 B62 B52:B56 B10:B12 B23:B24 B4:B8 B30:B49 B2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0"/>
  <sheetViews>
    <sheetView topLeftCell="A260" workbookViewId="0">
      <selection activeCell="H295" sqref="H295"/>
    </sheetView>
  </sheetViews>
  <sheetFormatPr defaultColWidth="9.140625" defaultRowHeight="15.75" x14ac:dyDescent="0.2"/>
  <cols>
    <col min="1" max="1" width="38.42578125" style="53" customWidth="1"/>
    <col min="2" max="2" width="10.7109375" style="112" customWidth="1"/>
    <col min="3" max="3" width="8.85546875" style="53" customWidth="1"/>
    <col min="4" max="4" width="42" style="61" customWidth="1"/>
    <col min="5" max="5" width="15.140625" style="57" customWidth="1"/>
    <col min="6" max="6" width="21.42578125" style="65" customWidth="1"/>
    <col min="7" max="16384" width="9.140625" style="50"/>
  </cols>
  <sheetData>
    <row r="1" spans="1:6" ht="17.45" customHeight="1" x14ac:dyDescent="0.2">
      <c r="A1" s="56" t="s">
        <v>1093</v>
      </c>
      <c r="B1" s="112" t="s">
        <v>1094</v>
      </c>
      <c r="C1" s="54">
        <v>8268</v>
      </c>
      <c r="D1" s="55" t="s">
        <v>1095</v>
      </c>
      <c r="E1" s="57" t="s">
        <v>1096</v>
      </c>
      <c r="F1" s="53" t="s">
        <v>1097</v>
      </c>
    </row>
    <row r="2" spans="1:6" ht="17.45" customHeight="1" x14ac:dyDescent="0.2">
      <c r="A2" s="56" t="s">
        <v>1098</v>
      </c>
      <c r="B2" s="112" t="s">
        <v>1099</v>
      </c>
      <c r="C2" s="54">
        <v>8268</v>
      </c>
      <c r="D2" s="55" t="s">
        <v>1095</v>
      </c>
      <c r="E2" s="57" t="s">
        <v>1100</v>
      </c>
      <c r="F2" s="53" t="s">
        <v>1097</v>
      </c>
    </row>
    <row r="3" spans="1:6" ht="17.45" customHeight="1" x14ac:dyDescent="0.2">
      <c r="A3" s="56" t="s">
        <v>1101</v>
      </c>
      <c r="B3" s="112" t="s">
        <v>1102</v>
      </c>
      <c r="C3" s="54">
        <v>8268</v>
      </c>
      <c r="D3" s="55" t="s">
        <v>1095</v>
      </c>
      <c r="E3" s="57" t="s">
        <v>1096</v>
      </c>
      <c r="F3" s="53" t="s">
        <v>1103</v>
      </c>
    </row>
    <row r="4" spans="1:6" ht="17.45" customHeight="1" x14ac:dyDescent="0.2">
      <c r="A4" s="56" t="s">
        <v>1104</v>
      </c>
      <c r="B4" s="112" t="s">
        <v>1105</v>
      </c>
      <c r="C4" s="54">
        <v>8268</v>
      </c>
      <c r="D4" s="55" t="s">
        <v>1095</v>
      </c>
      <c r="E4" s="57" t="s">
        <v>1100</v>
      </c>
      <c r="F4" s="53" t="s">
        <v>1103</v>
      </c>
    </row>
    <row r="5" spans="1:6" ht="17.45" customHeight="1" x14ac:dyDescent="0.2">
      <c r="A5" s="56" t="s">
        <v>1106</v>
      </c>
      <c r="B5" s="112" t="s">
        <v>1107</v>
      </c>
      <c r="C5" s="54">
        <v>8268</v>
      </c>
      <c r="D5" s="55" t="s">
        <v>1095</v>
      </c>
      <c r="E5" s="57" t="s">
        <v>1100</v>
      </c>
      <c r="F5" s="53" t="s">
        <v>1103</v>
      </c>
    </row>
    <row r="6" spans="1:6" ht="17.45" customHeight="1" x14ac:dyDescent="0.2">
      <c r="A6" s="56" t="s">
        <v>1108</v>
      </c>
      <c r="B6" s="112" t="s">
        <v>1109</v>
      </c>
      <c r="C6" s="54">
        <v>8268</v>
      </c>
      <c r="D6" s="55" t="s">
        <v>1095</v>
      </c>
      <c r="E6" s="57" t="s">
        <v>1096</v>
      </c>
      <c r="F6" s="53" t="s">
        <v>1110</v>
      </c>
    </row>
    <row r="7" spans="1:6" ht="17.45" customHeight="1" x14ac:dyDescent="0.2">
      <c r="A7" s="56" t="s">
        <v>1111</v>
      </c>
      <c r="B7" s="112">
        <v>118651</v>
      </c>
      <c r="C7" s="54">
        <v>8268</v>
      </c>
      <c r="D7" s="55" t="s">
        <v>1095</v>
      </c>
      <c r="E7" s="57" t="s">
        <v>1096</v>
      </c>
      <c r="F7" s="53" t="s">
        <v>1112</v>
      </c>
    </row>
    <row r="8" spans="1:6" ht="17.45" customHeight="1" x14ac:dyDescent="0.2">
      <c r="A8" s="56" t="s">
        <v>1113</v>
      </c>
      <c r="B8" s="112" t="s">
        <v>1114</v>
      </c>
      <c r="C8" s="54">
        <v>8268</v>
      </c>
      <c r="D8" s="55" t="s">
        <v>1095</v>
      </c>
      <c r="E8" s="57" t="s">
        <v>1100</v>
      </c>
      <c r="F8" s="53" t="s">
        <v>1112</v>
      </c>
    </row>
    <row r="9" spans="1:6" ht="17.45" customHeight="1" x14ac:dyDescent="0.2">
      <c r="A9" s="56" t="s">
        <v>1115</v>
      </c>
      <c r="B9" s="112" t="s">
        <v>1116</v>
      </c>
      <c r="C9" s="54">
        <v>8266</v>
      </c>
      <c r="D9" s="55" t="s">
        <v>1117</v>
      </c>
      <c r="E9" s="57" t="s">
        <v>1118</v>
      </c>
      <c r="F9" s="58" t="s">
        <v>1119</v>
      </c>
    </row>
    <row r="10" spans="1:6" ht="17.45" customHeight="1" x14ac:dyDescent="0.2">
      <c r="A10" s="56" t="s">
        <v>1120</v>
      </c>
      <c r="B10" s="112" t="s">
        <v>1121</v>
      </c>
      <c r="C10" s="54">
        <v>8266</v>
      </c>
      <c r="D10" s="55" t="s">
        <v>1122</v>
      </c>
      <c r="E10" s="57" t="s">
        <v>1123</v>
      </c>
      <c r="F10" s="58" t="s">
        <v>1124</v>
      </c>
    </row>
    <row r="11" spans="1:6" ht="17.45" customHeight="1" x14ac:dyDescent="0.2">
      <c r="A11" s="56" t="s">
        <v>1125</v>
      </c>
      <c r="B11" s="112" t="s">
        <v>1126</v>
      </c>
      <c r="C11" s="54">
        <v>8266</v>
      </c>
      <c r="D11" s="55" t="s">
        <v>1127</v>
      </c>
      <c r="E11" s="57" t="s">
        <v>1118</v>
      </c>
      <c r="F11" s="58" t="s">
        <v>1128</v>
      </c>
    </row>
    <row r="12" spans="1:6" ht="17.45" customHeight="1" x14ac:dyDescent="0.2">
      <c r="A12" s="56" t="s">
        <v>1129</v>
      </c>
      <c r="B12" s="112" t="s">
        <v>1130</v>
      </c>
      <c r="C12" s="54">
        <v>8266</v>
      </c>
      <c r="D12" s="55" t="s">
        <v>1131</v>
      </c>
      <c r="E12" s="57" t="s">
        <v>1123</v>
      </c>
      <c r="F12" s="58" t="s">
        <v>1132</v>
      </c>
    </row>
    <row r="13" spans="1:6" ht="17.45" customHeight="1" x14ac:dyDescent="0.2">
      <c r="A13" s="56" t="s">
        <v>1133</v>
      </c>
      <c r="B13" s="112">
        <v>188611</v>
      </c>
      <c r="C13" s="54">
        <v>8266</v>
      </c>
      <c r="D13" s="55" t="s">
        <v>1127</v>
      </c>
      <c r="E13" s="57" t="s">
        <v>1118</v>
      </c>
      <c r="F13" s="58" t="s">
        <v>1134</v>
      </c>
    </row>
    <row r="14" spans="1:6" ht="17.45" customHeight="1" x14ac:dyDescent="0.2">
      <c r="A14" s="56" t="s">
        <v>1135</v>
      </c>
      <c r="B14" s="112" t="s">
        <v>1136</v>
      </c>
      <c r="C14" s="54">
        <v>8266</v>
      </c>
      <c r="D14" s="55" t="s">
        <v>1127</v>
      </c>
      <c r="E14" s="57" t="s">
        <v>1123</v>
      </c>
      <c r="F14" s="58" t="s">
        <v>1137</v>
      </c>
    </row>
    <row r="15" spans="1:6" ht="17.45" customHeight="1" x14ac:dyDescent="0.2">
      <c r="A15" s="56" t="s">
        <v>1138</v>
      </c>
      <c r="B15" s="112" t="s">
        <v>1139</v>
      </c>
      <c r="C15" s="54">
        <v>8266</v>
      </c>
      <c r="D15" s="55" t="s">
        <v>1131</v>
      </c>
      <c r="E15" s="57" t="s">
        <v>1123</v>
      </c>
      <c r="F15" s="58" t="s">
        <v>1140</v>
      </c>
    </row>
    <row r="16" spans="1:6" ht="17.45" customHeight="1" x14ac:dyDescent="0.2">
      <c r="A16" s="56" t="s">
        <v>1141</v>
      </c>
      <c r="B16" s="112">
        <v>188612</v>
      </c>
      <c r="C16" s="54">
        <v>8266</v>
      </c>
      <c r="D16" s="55" t="s">
        <v>1131</v>
      </c>
      <c r="E16" s="57" t="s">
        <v>1118</v>
      </c>
      <c r="F16" s="56" t="s">
        <v>1142</v>
      </c>
    </row>
    <row r="17" spans="1:6" ht="17.45" customHeight="1" x14ac:dyDescent="0.2">
      <c r="A17" s="56" t="s">
        <v>1143</v>
      </c>
      <c r="B17" s="112" t="s">
        <v>1144</v>
      </c>
      <c r="C17" s="54">
        <v>8266</v>
      </c>
      <c r="D17" s="55" t="s">
        <v>1131</v>
      </c>
      <c r="E17" s="57" t="s">
        <v>1123</v>
      </c>
      <c r="F17" s="58" t="s">
        <v>1145</v>
      </c>
    </row>
    <row r="18" spans="1:6" ht="17.45" customHeight="1" x14ac:dyDescent="0.2">
      <c r="A18" s="56" t="s">
        <v>1146</v>
      </c>
      <c r="B18" s="112" t="s">
        <v>1147</v>
      </c>
      <c r="C18" s="54">
        <v>8266</v>
      </c>
      <c r="D18" s="55" t="s">
        <v>1131</v>
      </c>
      <c r="E18" s="57" t="s">
        <v>1123</v>
      </c>
      <c r="F18" s="58" t="s">
        <v>1148</v>
      </c>
    </row>
    <row r="19" spans="1:6" ht="17.45" customHeight="1" x14ac:dyDescent="0.2">
      <c r="A19" s="56" t="s">
        <v>1149</v>
      </c>
      <c r="B19" s="112">
        <v>188600</v>
      </c>
      <c r="C19" s="54" t="s">
        <v>1150</v>
      </c>
      <c r="D19" s="55" t="s">
        <v>1151</v>
      </c>
      <c r="E19" s="57" t="s">
        <v>258</v>
      </c>
      <c r="F19" s="58" t="s">
        <v>1152</v>
      </c>
    </row>
    <row r="20" spans="1:6" ht="17.45" customHeight="1" x14ac:dyDescent="0.2">
      <c r="A20" s="56" t="s">
        <v>1153</v>
      </c>
      <c r="B20" s="112">
        <v>218600</v>
      </c>
      <c r="C20" s="54">
        <v>8266</v>
      </c>
      <c r="D20" s="55" t="s">
        <v>1154</v>
      </c>
      <c r="E20" s="57" t="s">
        <v>258</v>
      </c>
      <c r="F20" s="53" t="s">
        <v>1155</v>
      </c>
    </row>
    <row r="21" spans="1:6" ht="17.45" customHeight="1" x14ac:dyDescent="0.2">
      <c r="A21" s="56" t="s">
        <v>1156</v>
      </c>
      <c r="B21" s="112" t="s">
        <v>1157</v>
      </c>
      <c r="C21" s="54">
        <v>8278</v>
      </c>
      <c r="D21" s="55" t="s">
        <v>1158</v>
      </c>
      <c r="E21" s="57" t="s">
        <v>258</v>
      </c>
      <c r="F21" s="58" t="s">
        <v>1159</v>
      </c>
    </row>
    <row r="22" spans="1:6" ht="17.45" customHeight="1" x14ac:dyDescent="0.2">
      <c r="A22" s="56" t="s">
        <v>1160</v>
      </c>
      <c r="B22" s="112" t="s">
        <v>1161</v>
      </c>
      <c r="C22" s="54">
        <v>8278</v>
      </c>
      <c r="D22" s="55" t="s">
        <v>1158</v>
      </c>
      <c r="E22" s="57" t="s">
        <v>258</v>
      </c>
      <c r="F22" s="58" t="s">
        <v>1162</v>
      </c>
    </row>
    <row r="23" spans="1:6" ht="17.45" customHeight="1" x14ac:dyDescent="0.2">
      <c r="A23" s="56" t="s">
        <v>1163</v>
      </c>
      <c r="B23" s="112">
        <v>208605</v>
      </c>
      <c r="C23" s="54" t="s">
        <v>1164</v>
      </c>
      <c r="D23" s="55" t="s">
        <v>1165</v>
      </c>
      <c r="E23" s="57" t="s">
        <v>258</v>
      </c>
      <c r="F23" s="58" t="s">
        <v>1166</v>
      </c>
    </row>
    <row r="24" spans="1:6" ht="17.45" customHeight="1" x14ac:dyDescent="0.2">
      <c r="A24" s="56" t="s">
        <v>1167</v>
      </c>
      <c r="B24" s="112" t="s">
        <v>1168</v>
      </c>
      <c r="C24" s="54">
        <v>8278</v>
      </c>
      <c r="D24" s="55" t="s">
        <v>1169</v>
      </c>
      <c r="E24" s="57" t="s">
        <v>1170</v>
      </c>
      <c r="F24" s="58" t="s">
        <v>1171</v>
      </c>
    </row>
    <row r="25" spans="1:6" ht="17.45" customHeight="1" x14ac:dyDescent="0.2">
      <c r="A25" s="56" t="s">
        <v>1172</v>
      </c>
      <c r="B25" s="112" t="s">
        <v>1173</v>
      </c>
      <c r="C25" s="54">
        <v>8278</v>
      </c>
      <c r="D25" s="55" t="s">
        <v>1158</v>
      </c>
      <c r="E25" s="57" t="s">
        <v>1118</v>
      </c>
      <c r="F25" s="56" t="s">
        <v>1174</v>
      </c>
    </row>
    <row r="26" spans="1:6" ht="17.45" customHeight="1" x14ac:dyDescent="0.2">
      <c r="A26" s="56" t="s">
        <v>1175</v>
      </c>
      <c r="B26" s="112">
        <v>208667</v>
      </c>
      <c r="C26" s="54">
        <v>8278</v>
      </c>
      <c r="D26" s="55" t="s">
        <v>1158</v>
      </c>
      <c r="E26" s="57" t="s">
        <v>1123</v>
      </c>
      <c r="F26" s="56" t="s">
        <v>1176</v>
      </c>
    </row>
    <row r="27" spans="1:6" ht="17.45" customHeight="1" x14ac:dyDescent="0.2">
      <c r="A27" s="56" t="s">
        <v>1177</v>
      </c>
      <c r="B27" s="112" t="s">
        <v>1178</v>
      </c>
      <c r="C27" s="54">
        <v>8278</v>
      </c>
      <c r="D27" s="55" t="s">
        <v>1158</v>
      </c>
      <c r="E27" s="57" t="s">
        <v>1118</v>
      </c>
      <c r="F27" s="58" t="s">
        <v>1179</v>
      </c>
    </row>
    <row r="28" spans="1:6" ht="17.45" customHeight="1" x14ac:dyDescent="0.2">
      <c r="A28" s="56" t="s">
        <v>1830</v>
      </c>
      <c r="B28" s="112">
        <v>158669</v>
      </c>
      <c r="C28" s="54">
        <v>8278</v>
      </c>
      <c r="D28" s="55" t="s">
        <v>1158</v>
      </c>
      <c r="E28" s="57" t="s">
        <v>1118</v>
      </c>
      <c r="F28" s="56" t="s">
        <v>1145</v>
      </c>
    </row>
    <row r="29" spans="1:6" ht="17.45" customHeight="1" x14ac:dyDescent="0.2">
      <c r="A29" s="56" t="s">
        <v>1180</v>
      </c>
      <c r="B29" s="112" t="s">
        <v>1181</v>
      </c>
      <c r="C29" s="54">
        <v>8278</v>
      </c>
      <c r="D29" s="55" t="s">
        <v>1182</v>
      </c>
      <c r="E29" s="57" t="s">
        <v>1118</v>
      </c>
      <c r="F29" s="56" t="s">
        <v>1145</v>
      </c>
    </row>
    <row r="30" spans="1:6" ht="17.45" customHeight="1" x14ac:dyDescent="0.2">
      <c r="A30" s="56" t="s">
        <v>1183</v>
      </c>
      <c r="B30" s="112">
        <v>208671</v>
      </c>
      <c r="C30" s="54">
        <v>8278</v>
      </c>
      <c r="D30" s="55" t="s">
        <v>1182</v>
      </c>
      <c r="E30" s="57" t="s">
        <v>1123</v>
      </c>
      <c r="F30" s="56" t="s">
        <v>1184</v>
      </c>
    </row>
    <row r="31" spans="1:6" ht="17.45" customHeight="1" x14ac:dyDescent="0.2">
      <c r="A31" s="56" t="s">
        <v>1185</v>
      </c>
      <c r="B31" s="112" t="s">
        <v>1186</v>
      </c>
      <c r="C31" s="54">
        <v>8278</v>
      </c>
      <c r="D31" s="55" t="s">
        <v>1182</v>
      </c>
      <c r="E31" s="57" t="s">
        <v>1118</v>
      </c>
      <c r="F31" s="58" t="s">
        <v>1187</v>
      </c>
    </row>
    <row r="32" spans="1:6" ht="17.45" customHeight="1" x14ac:dyDescent="0.2">
      <c r="A32" s="56" t="s">
        <v>1188</v>
      </c>
      <c r="B32" s="112" t="s">
        <v>1189</v>
      </c>
      <c r="C32" s="54">
        <v>8278</v>
      </c>
      <c r="D32" s="55" t="s">
        <v>1169</v>
      </c>
      <c r="E32" s="57" t="s">
        <v>1123</v>
      </c>
      <c r="F32" s="58" t="s">
        <v>1190</v>
      </c>
    </row>
    <row r="33" spans="1:6" ht="17.45" customHeight="1" x14ac:dyDescent="0.2">
      <c r="A33" s="56" t="s">
        <v>1191</v>
      </c>
      <c r="B33" s="112" t="s">
        <v>1192</v>
      </c>
      <c r="C33" s="54">
        <v>8278</v>
      </c>
      <c r="D33" s="55" t="s">
        <v>1158</v>
      </c>
      <c r="E33" s="57" t="s">
        <v>1118</v>
      </c>
      <c r="F33" s="58" t="s">
        <v>1171</v>
      </c>
    </row>
    <row r="34" spans="1:6" ht="17.45" customHeight="1" x14ac:dyDescent="0.2">
      <c r="A34" s="56" t="s">
        <v>1193</v>
      </c>
      <c r="B34" s="112" t="s">
        <v>1194</v>
      </c>
      <c r="C34" s="54">
        <v>8278</v>
      </c>
      <c r="D34" s="55" t="s">
        <v>1195</v>
      </c>
      <c r="E34" s="57" t="s">
        <v>1123</v>
      </c>
      <c r="F34" s="58" t="s">
        <v>1190</v>
      </c>
    </row>
    <row r="35" spans="1:6" ht="17.45" customHeight="1" x14ac:dyDescent="0.2">
      <c r="A35" s="56" t="s">
        <v>1196</v>
      </c>
      <c r="B35" s="112">
        <v>228601</v>
      </c>
      <c r="C35" s="54">
        <v>8278</v>
      </c>
      <c r="D35" s="55" t="s">
        <v>1195</v>
      </c>
      <c r="E35" s="57" t="s">
        <v>1197</v>
      </c>
      <c r="F35" s="58" t="s">
        <v>1198</v>
      </c>
    </row>
    <row r="36" spans="1:6" ht="17.45" customHeight="1" x14ac:dyDescent="0.2">
      <c r="A36" s="56" t="s">
        <v>1199</v>
      </c>
      <c r="B36" s="112">
        <v>228600</v>
      </c>
      <c r="C36" s="54">
        <v>8278</v>
      </c>
      <c r="D36" s="55" t="s">
        <v>1195</v>
      </c>
      <c r="E36" s="57" t="s">
        <v>1123</v>
      </c>
      <c r="F36" s="58" t="s">
        <v>1200</v>
      </c>
    </row>
    <row r="37" spans="1:6" ht="17.45" customHeight="1" x14ac:dyDescent="0.2">
      <c r="A37" s="56" t="s">
        <v>1201</v>
      </c>
      <c r="B37" s="112">
        <v>148622</v>
      </c>
      <c r="C37" s="54">
        <v>8278</v>
      </c>
      <c r="D37" s="55" t="s">
        <v>1195</v>
      </c>
      <c r="E37" s="57" t="s">
        <v>1118</v>
      </c>
      <c r="F37" s="58" t="s">
        <v>1202</v>
      </c>
    </row>
    <row r="38" spans="1:6" ht="17.45" customHeight="1" x14ac:dyDescent="0.2">
      <c r="A38" s="56" t="s">
        <v>1203</v>
      </c>
      <c r="B38" s="112">
        <v>148624</v>
      </c>
      <c r="C38" s="54">
        <v>8278</v>
      </c>
      <c r="D38" s="55" t="s">
        <v>1195</v>
      </c>
      <c r="E38" s="57" t="s">
        <v>1123</v>
      </c>
      <c r="F38" s="58" t="s">
        <v>1204</v>
      </c>
    </row>
    <row r="39" spans="1:6" ht="17.45" customHeight="1" x14ac:dyDescent="0.2">
      <c r="A39" s="56" t="s">
        <v>1836</v>
      </c>
      <c r="B39" s="112">
        <v>158671</v>
      </c>
      <c r="C39" s="54">
        <v>8278</v>
      </c>
      <c r="D39" s="55" t="s">
        <v>1195</v>
      </c>
      <c r="E39" s="57" t="s">
        <v>1834</v>
      </c>
      <c r="F39" s="56" t="s">
        <v>1835</v>
      </c>
    </row>
    <row r="40" spans="1:6" ht="17.45" customHeight="1" x14ac:dyDescent="0.2">
      <c r="A40" s="56" t="s">
        <v>1205</v>
      </c>
      <c r="B40" s="112">
        <v>208606</v>
      </c>
      <c r="C40" s="54">
        <v>8278</v>
      </c>
      <c r="D40" s="55" t="s">
        <v>1182</v>
      </c>
      <c r="E40" s="57" t="s">
        <v>1118</v>
      </c>
      <c r="F40" s="58" t="s">
        <v>1206</v>
      </c>
    </row>
    <row r="41" spans="1:6" ht="17.45" customHeight="1" x14ac:dyDescent="0.2">
      <c r="A41" s="56" t="s">
        <v>1207</v>
      </c>
      <c r="B41" s="112" t="s">
        <v>1208</v>
      </c>
      <c r="C41" s="54">
        <v>8278</v>
      </c>
      <c r="D41" s="55" t="s">
        <v>1195</v>
      </c>
      <c r="E41" s="57" t="s">
        <v>1096</v>
      </c>
      <c r="F41" s="58" t="s">
        <v>1209</v>
      </c>
    </row>
    <row r="42" spans="1:6" ht="17.45" customHeight="1" x14ac:dyDescent="0.2">
      <c r="A42" s="56" t="s">
        <v>1210</v>
      </c>
      <c r="B42" s="112" t="s">
        <v>1211</v>
      </c>
      <c r="C42" s="54">
        <v>8278</v>
      </c>
      <c r="D42" s="55" t="s">
        <v>1169</v>
      </c>
      <c r="E42" s="57" t="s">
        <v>1096</v>
      </c>
      <c r="F42" s="58" t="s">
        <v>1212</v>
      </c>
    </row>
    <row r="43" spans="1:6" ht="17.45" customHeight="1" x14ac:dyDescent="0.2">
      <c r="A43" s="56" t="s">
        <v>1213</v>
      </c>
      <c r="B43" s="112" t="s">
        <v>1214</v>
      </c>
      <c r="C43" s="54">
        <v>8266</v>
      </c>
      <c r="D43" s="55" t="s">
        <v>1127</v>
      </c>
      <c r="E43" s="57" t="s">
        <v>1118</v>
      </c>
      <c r="F43" s="58" t="s">
        <v>1187</v>
      </c>
    </row>
    <row r="44" spans="1:6" ht="17.45" customHeight="1" x14ac:dyDescent="0.2">
      <c r="A44" s="56" t="s">
        <v>1215</v>
      </c>
      <c r="B44" s="112" t="s">
        <v>1216</v>
      </c>
      <c r="C44" s="54">
        <v>8266</v>
      </c>
      <c r="D44" s="55" t="s">
        <v>1154</v>
      </c>
      <c r="E44" s="57" t="s">
        <v>1123</v>
      </c>
      <c r="F44" s="58" t="s">
        <v>1217</v>
      </c>
    </row>
    <row r="45" spans="1:6" ht="17.45" customHeight="1" x14ac:dyDescent="0.2">
      <c r="A45" s="58" t="s">
        <v>1218</v>
      </c>
      <c r="B45" s="112" t="s">
        <v>1219</v>
      </c>
      <c r="C45" s="54">
        <v>8279</v>
      </c>
      <c r="D45" s="60" t="s">
        <v>1220</v>
      </c>
      <c r="E45" s="57" t="s">
        <v>258</v>
      </c>
      <c r="F45" s="54" t="s">
        <v>1221</v>
      </c>
    </row>
    <row r="46" spans="1:6" ht="17.45" customHeight="1" x14ac:dyDescent="0.2">
      <c r="A46" s="58" t="s">
        <v>1222</v>
      </c>
      <c r="B46" s="112" t="s">
        <v>1223</v>
      </c>
      <c r="C46" s="54">
        <v>8279</v>
      </c>
      <c r="D46" s="60" t="s">
        <v>1220</v>
      </c>
      <c r="E46" s="57" t="s">
        <v>258</v>
      </c>
      <c r="F46" s="54" t="s">
        <v>1221</v>
      </c>
    </row>
    <row r="47" spans="1:6" ht="17.45" customHeight="1" x14ac:dyDescent="0.2">
      <c r="A47" s="58" t="s">
        <v>1224</v>
      </c>
      <c r="B47" s="112">
        <v>158610</v>
      </c>
      <c r="C47" s="54">
        <v>8279</v>
      </c>
      <c r="D47" s="60" t="s">
        <v>1220</v>
      </c>
      <c r="E47" s="57" t="s">
        <v>258</v>
      </c>
      <c r="F47" s="54" t="s">
        <v>1225</v>
      </c>
    </row>
    <row r="48" spans="1:6" ht="17.45" customHeight="1" x14ac:dyDescent="0.2">
      <c r="A48" s="58" t="s">
        <v>1226</v>
      </c>
      <c r="B48" s="112">
        <v>198616</v>
      </c>
      <c r="C48" s="54" t="s">
        <v>1227</v>
      </c>
      <c r="D48" s="60" t="s">
        <v>1228</v>
      </c>
      <c r="E48" s="57" t="s">
        <v>1118</v>
      </c>
      <c r="F48" s="54" t="s">
        <v>1229</v>
      </c>
    </row>
    <row r="49" spans="1:6" ht="17.45" customHeight="1" x14ac:dyDescent="0.2">
      <c r="A49" s="58" t="s">
        <v>1230</v>
      </c>
      <c r="B49" s="112">
        <v>198619</v>
      </c>
      <c r="C49" s="54" t="s">
        <v>1227</v>
      </c>
      <c r="D49" s="60" t="s">
        <v>1228</v>
      </c>
      <c r="E49" s="57" t="s">
        <v>1118</v>
      </c>
      <c r="F49" s="54" t="s">
        <v>1231</v>
      </c>
    </row>
    <row r="50" spans="1:6" ht="17.45" customHeight="1" x14ac:dyDescent="0.2">
      <c r="A50" s="58" t="s">
        <v>1232</v>
      </c>
      <c r="B50" s="112">
        <v>188201</v>
      </c>
      <c r="C50" s="54" t="s">
        <v>1227</v>
      </c>
      <c r="D50" s="60" t="s">
        <v>1228</v>
      </c>
      <c r="E50" s="57" t="s">
        <v>1123</v>
      </c>
      <c r="F50" s="54" t="s">
        <v>1233</v>
      </c>
    </row>
    <row r="51" spans="1:6" ht="17.45" customHeight="1" x14ac:dyDescent="0.2">
      <c r="A51" s="56" t="s">
        <v>1234</v>
      </c>
      <c r="B51" s="112" t="s">
        <v>1235</v>
      </c>
      <c r="C51" s="54">
        <v>8266</v>
      </c>
      <c r="D51" s="55" t="s">
        <v>1236</v>
      </c>
      <c r="E51" s="57" t="s">
        <v>1118</v>
      </c>
      <c r="F51" s="58" t="s">
        <v>1237</v>
      </c>
    </row>
    <row r="52" spans="1:6" ht="17.45" customHeight="1" x14ac:dyDescent="0.2">
      <c r="A52" s="56" t="s">
        <v>1238</v>
      </c>
      <c r="B52" s="112" t="s">
        <v>1239</v>
      </c>
      <c r="C52" s="54">
        <v>8266</v>
      </c>
      <c r="D52" s="55" t="s">
        <v>1127</v>
      </c>
      <c r="E52" s="57" t="s">
        <v>1096</v>
      </c>
      <c r="F52" s="53" t="s">
        <v>1240</v>
      </c>
    </row>
    <row r="53" spans="1:6" ht="17.45" customHeight="1" x14ac:dyDescent="0.2">
      <c r="A53" s="56" t="s">
        <v>1241</v>
      </c>
      <c r="B53" s="112" t="s">
        <v>1242</v>
      </c>
      <c r="C53" s="54">
        <v>8266</v>
      </c>
      <c r="D53" s="55" t="s">
        <v>1154</v>
      </c>
      <c r="E53" s="57" t="s">
        <v>258</v>
      </c>
      <c r="F53" s="53" t="s">
        <v>1155</v>
      </c>
    </row>
    <row r="54" spans="1:6" ht="17.45" customHeight="1" x14ac:dyDescent="0.2">
      <c r="A54" s="56" t="s">
        <v>1243</v>
      </c>
      <c r="B54" s="112">
        <v>208601</v>
      </c>
      <c r="C54" s="54">
        <v>8266</v>
      </c>
      <c r="D54" s="55" t="s">
        <v>1154</v>
      </c>
      <c r="E54" s="57" t="s">
        <v>258</v>
      </c>
      <c r="F54" s="53" t="s">
        <v>1244</v>
      </c>
    </row>
    <row r="55" spans="1:6" ht="17.45" customHeight="1" x14ac:dyDescent="0.2">
      <c r="A55" s="56" t="s">
        <v>1245</v>
      </c>
      <c r="B55" s="112" t="s">
        <v>1246</v>
      </c>
      <c r="C55" s="54">
        <v>8266</v>
      </c>
      <c r="D55" s="55" t="s">
        <v>1154</v>
      </c>
      <c r="E55" s="57" t="s">
        <v>258</v>
      </c>
      <c r="F55" s="53" t="s">
        <v>1247</v>
      </c>
    </row>
    <row r="56" spans="1:6" ht="17.45" customHeight="1" x14ac:dyDescent="0.2">
      <c r="A56" s="56" t="s">
        <v>1248</v>
      </c>
      <c r="B56" s="112" t="s">
        <v>1249</v>
      </c>
      <c r="C56" s="54">
        <v>8266</v>
      </c>
      <c r="D56" s="55" t="s">
        <v>1154</v>
      </c>
      <c r="E56" s="57" t="s">
        <v>1096</v>
      </c>
      <c r="F56" s="56" t="s">
        <v>1250</v>
      </c>
    </row>
    <row r="57" spans="1:6" ht="17.45" customHeight="1" x14ac:dyDescent="0.2">
      <c r="A57" s="56" t="s">
        <v>1251</v>
      </c>
      <c r="B57" s="112">
        <v>218602</v>
      </c>
      <c r="C57" s="54" t="s">
        <v>1252</v>
      </c>
      <c r="D57" s="55" t="s">
        <v>1253</v>
      </c>
      <c r="E57" s="57" t="s">
        <v>258</v>
      </c>
      <c r="F57" s="56" t="s">
        <v>1254</v>
      </c>
    </row>
    <row r="58" spans="1:6" ht="17.45" customHeight="1" x14ac:dyDescent="0.2">
      <c r="A58" s="56" t="s">
        <v>1255</v>
      </c>
      <c r="B58" s="112">
        <v>218603</v>
      </c>
      <c r="C58" s="54" t="s">
        <v>1252</v>
      </c>
      <c r="D58" s="55" t="s">
        <v>1253</v>
      </c>
      <c r="E58" s="57" t="s">
        <v>1118</v>
      </c>
      <c r="F58" s="56" t="s">
        <v>1256</v>
      </c>
    </row>
    <row r="59" spans="1:6" ht="17.45" customHeight="1" x14ac:dyDescent="0.2">
      <c r="A59" s="56" t="s">
        <v>1257</v>
      </c>
      <c r="B59" s="112">
        <v>218604</v>
      </c>
      <c r="C59" s="54" t="s">
        <v>1252</v>
      </c>
      <c r="D59" s="55" t="s">
        <v>1253</v>
      </c>
      <c r="E59" s="57" t="s">
        <v>1096</v>
      </c>
      <c r="F59" s="56" t="s">
        <v>1258</v>
      </c>
    </row>
    <row r="60" spans="1:6" ht="17.45" customHeight="1" x14ac:dyDescent="0.2">
      <c r="A60" s="56" t="s">
        <v>1259</v>
      </c>
      <c r="B60" s="112">
        <v>188602</v>
      </c>
      <c r="C60" s="54" t="s">
        <v>1150</v>
      </c>
      <c r="D60" s="55" t="s">
        <v>1151</v>
      </c>
      <c r="E60" s="57" t="s">
        <v>1170</v>
      </c>
      <c r="F60" s="56" t="s">
        <v>1260</v>
      </c>
    </row>
    <row r="61" spans="1:6" ht="17.45" customHeight="1" x14ac:dyDescent="0.2">
      <c r="A61" s="56" t="s">
        <v>1261</v>
      </c>
      <c r="B61" s="112">
        <v>228607</v>
      </c>
      <c r="C61" s="54" t="s">
        <v>1262</v>
      </c>
      <c r="D61" s="55" t="s">
        <v>1263</v>
      </c>
      <c r="E61" s="57" t="s">
        <v>1123</v>
      </c>
      <c r="F61" s="56" t="s">
        <v>1264</v>
      </c>
    </row>
    <row r="62" spans="1:6" ht="17.45" customHeight="1" x14ac:dyDescent="0.2">
      <c r="A62" s="56" t="s">
        <v>1265</v>
      </c>
      <c r="B62" s="112">
        <v>208669</v>
      </c>
      <c r="C62" s="54" t="s">
        <v>1262</v>
      </c>
      <c r="D62" s="55" t="s">
        <v>1263</v>
      </c>
      <c r="E62" s="57" t="s">
        <v>1123</v>
      </c>
      <c r="F62" s="56" t="s">
        <v>1266</v>
      </c>
    </row>
    <row r="63" spans="1:6" ht="17.45" customHeight="1" x14ac:dyDescent="0.2">
      <c r="A63" s="56" t="s">
        <v>1267</v>
      </c>
      <c r="B63" s="112" t="s">
        <v>1268</v>
      </c>
      <c r="C63" s="54">
        <v>8279</v>
      </c>
      <c r="D63" s="55" t="s">
        <v>1269</v>
      </c>
      <c r="E63" s="57" t="s">
        <v>1123</v>
      </c>
      <c r="F63" s="58" t="s">
        <v>1270</v>
      </c>
    </row>
    <row r="64" spans="1:6" ht="17.45" customHeight="1" x14ac:dyDescent="0.2">
      <c r="A64" s="56" t="s">
        <v>203</v>
      </c>
      <c r="C64" s="54"/>
      <c r="D64" s="55" t="s">
        <v>1271</v>
      </c>
      <c r="F64" s="57" t="s">
        <v>1272</v>
      </c>
    </row>
    <row r="65" spans="1:6" ht="17.45" customHeight="1" x14ac:dyDescent="0.2">
      <c r="A65" s="56" t="s">
        <v>206</v>
      </c>
      <c r="C65" s="54"/>
      <c r="D65" s="55" t="s">
        <v>1271</v>
      </c>
      <c r="F65" s="57" t="s">
        <v>1273</v>
      </c>
    </row>
    <row r="66" spans="1:6" ht="17.45" customHeight="1" x14ac:dyDescent="0.2">
      <c r="A66" s="56" t="s">
        <v>1274</v>
      </c>
      <c r="B66" s="181" t="s">
        <v>1275</v>
      </c>
      <c r="C66" s="54">
        <v>8268</v>
      </c>
      <c r="D66" s="55" t="s">
        <v>1276</v>
      </c>
      <c r="E66" s="57" t="s">
        <v>1123</v>
      </c>
      <c r="F66" s="58" t="s">
        <v>1277</v>
      </c>
    </row>
    <row r="67" spans="1:6" ht="17.45" customHeight="1" x14ac:dyDescent="0.2">
      <c r="A67" s="56" t="s">
        <v>1278</v>
      </c>
      <c r="B67" s="112" t="s">
        <v>1279</v>
      </c>
      <c r="C67" s="54">
        <v>8268</v>
      </c>
      <c r="D67" s="55" t="s">
        <v>1280</v>
      </c>
      <c r="E67" s="57" t="s">
        <v>1118</v>
      </c>
      <c r="F67" s="58" t="s">
        <v>1281</v>
      </c>
    </row>
    <row r="68" spans="1:6" ht="17.45" customHeight="1" x14ac:dyDescent="0.2">
      <c r="A68" s="56" t="s">
        <v>1282</v>
      </c>
      <c r="B68" s="112" t="s">
        <v>1283</v>
      </c>
      <c r="C68" s="54">
        <v>8268</v>
      </c>
      <c r="D68" s="55" t="s">
        <v>1284</v>
      </c>
      <c r="E68" s="57" t="s">
        <v>258</v>
      </c>
      <c r="F68" s="58" t="s">
        <v>1285</v>
      </c>
    </row>
    <row r="69" spans="1:6" ht="17.45" customHeight="1" x14ac:dyDescent="0.2">
      <c r="A69" s="56" t="s">
        <v>1286</v>
      </c>
      <c r="B69" s="112" t="s">
        <v>1287</v>
      </c>
      <c r="C69" s="54">
        <v>8268</v>
      </c>
      <c r="D69" s="55" t="s">
        <v>1284</v>
      </c>
      <c r="E69" s="57" t="s">
        <v>258</v>
      </c>
      <c r="F69" s="58" t="s">
        <v>1288</v>
      </c>
    </row>
    <row r="70" spans="1:6" ht="17.45" customHeight="1" x14ac:dyDescent="0.2">
      <c r="A70" s="56" t="s">
        <v>1289</v>
      </c>
      <c r="B70" s="112" t="s">
        <v>1290</v>
      </c>
      <c r="C70" s="54">
        <v>8268</v>
      </c>
      <c r="D70" s="55" t="s">
        <v>1291</v>
      </c>
      <c r="E70" s="57" t="s">
        <v>258</v>
      </c>
      <c r="F70" s="58" t="s">
        <v>1292</v>
      </c>
    </row>
    <row r="71" spans="1:6" ht="17.45" customHeight="1" x14ac:dyDescent="0.2">
      <c r="A71" s="56" t="s">
        <v>1293</v>
      </c>
      <c r="B71" s="112" t="s">
        <v>1294</v>
      </c>
      <c r="C71" s="54">
        <v>8268</v>
      </c>
      <c r="D71" s="55" t="s">
        <v>1291</v>
      </c>
      <c r="E71" s="57" t="s">
        <v>258</v>
      </c>
      <c r="F71" s="58" t="s">
        <v>1292</v>
      </c>
    </row>
    <row r="72" spans="1:6" ht="17.45" customHeight="1" x14ac:dyDescent="0.2">
      <c r="A72" s="56" t="s">
        <v>1295</v>
      </c>
      <c r="B72" s="112" t="s">
        <v>1296</v>
      </c>
      <c r="C72" s="54">
        <v>8268</v>
      </c>
      <c r="D72" s="55" t="s">
        <v>1297</v>
      </c>
      <c r="E72" s="57" t="s">
        <v>1096</v>
      </c>
      <c r="F72" s="53" t="s">
        <v>1110</v>
      </c>
    </row>
    <row r="73" spans="1:6" ht="17.45" customHeight="1" x14ac:dyDescent="0.2">
      <c r="A73" s="56" t="s">
        <v>1298</v>
      </c>
      <c r="B73" s="112" t="s">
        <v>1299</v>
      </c>
      <c r="C73" s="54">
        <v>8268</v>
      </c>
      <c r="D73" s="55" t="s">
        <v>1276</v>
      </c>
      <c r="E73" s="57" t="s">
        <v>1118</v>
      </c>
      <c r="F73" s="58" t="s">
        <v>1300</v>
      </c>
    </row>
    <row r="74" spans="1:6" ht="17.45" customHeight="1" x14ac:dyDescent="0.2">
      <c r="A74" s="56" t="s">
        <v>1301</v>
      </c>
      <c r="B74" s="112">
        <v>28691</v>
      </c>
      <c r="C74" s="54">
        <v>8268</v>
      </c>
      <c r="D74" s="55" t="s">
        <v>1276</v>
      </c>
      <c r="E74" s="57" t="s">
        <v>1123</v>
      </c>
      <c r="F74" s="58" t="s">
        <v>1302</v>
      </c>
    </row>
    <row r="75" spans="1:6" ht="17.45" customHeight="1" x14ac:dyDescent="0.2">
      <c r="A75" s="56" t="s">
        <v>1303</v>
      </c>
      <c r="B75" s="112" t="s">
        <v>1304</v>
      </c>
      <c r="C75" s="54">
        <v>8268</v>
      </c>
      <c r="D75" s="60" t="s">
        <v>1291</v>
      </c>
      <c r="E75" s="57" t="s">
        <v>1305</v>
      </c>
      <c r="F75" s="58" t="s">
        <v>1306</v>
      </c>
    </row>
    <row r="76" spans="1:6" ht="17.45" customHeight="1" x14ac:dyDescent="0.2">
      <c r="A76" s="56" t="s">
        <v>1307</v>
      </c>
      <c r="B76" s="112" t="s">
        <v>1308</v>
      </c>
      <c r="C76" s="54">
        <v>8268</v>
      </c>
      <c r="D76" s="55" t="s">
        <v>1309</v>
      </c>
      <c r="E76" s="57" t="s">
        <v>1170</v>
      </c>
      <c r="F76" s="58" t="s">
        <v>1306</v>
      </c>
    </row>
    <row r="77" spans="1:6" ht="17.45" customHeight="1" x14ac:dyDescent="0.2">
      <c r="A77" s="56" t="s">
        <v>1310</v>
      </c>
      <c r="B77" s="112">
        <v>188610</v>
      </c>
      <c r="C77" s="54">
        <v>8268</v>
      </c>
      <c r="D77" s="55" t="s">
        <v>1311</v>
      </c>
      <c r="E77" s="57" t="s">
        <v>1118</v>
      </c>
      <c r="F77" s="58" t="s">
        <v>1312</v>
      </c>
    </row>
    <row r="78" spans="1:6" ht="17.45" customHeight="1" x14ac:dyDescent="0.2">
      <c r="A78" s="56" t="s">
        <v>1313</v>
      </c>
      <c r="B78" s="112">
        <v>188608</v>
      </c>
      <c r="C78" s="54">
        <v>8268</v>
      </c>
      <c r="D78" s="55" t="s">
        <v>1311</v>
      </c>
      <c r="E78" s="57" t="s">
        <v>1170</v>
      </c>
      <c r="F78" s="58" t="s">
        <v>1314</v>
      </c>
    </row>
    <row r="79" spans="1:6" ht="17.45" customHeight="1" x14ac:dyDescent="0.2">
      <c r="A79" s="56" t="s">
        <v>1315</v>
      </c>
      <c r="B79" s="112" t="s">
        <v>1316</v>
      </c>
      <c r="C79" s="54">
        <v>8268</v>
      </c>
      <c r="D79" s="55" t="s">
        <v>1317</v>
      </c>
      <c r="E79" s="57" t="s">
        <v>1305</v>
      </c>
      <c r="F79" s="58" t="s">
        <v>1318</v>
      </c>
    </row>
    <row r="80" spans="1:6" ht="17.45" customHeight="1" x14ac:dyDescent="0.2">
      <c r="A80" s="56" t="s">
        <v>1319</v>
      </c>
      <c r="B80" s="112" t="s">
        <v>1320</v>
      </c>
      <c r="C80" s="54">
        <v>8268</v>
      </c>
      <c r="D80" s="55" t="s">
        <v>1311</v>
      </c>
      <c r="E80" s="57" t="s">
        <v>1170</v>
      </c>
      <c r="F80" s="58" t="s">
        <v>1318</v>
      </c>
    </row>
    <row r="81" spans="1:6" ht="17.45" customHeight="1" x14ac:dyDescent="0.2">
      <c r="A81" s="56" t="s">
        <v>1321</v>
      </c>
      <c r="B81" s="112" t="s">
        <v>1322</v>
      </c>
      <c r="C81" s="54">
        <v>8268</v>
      </c>
      <c r="D81" s="55" t="s">
        <v>1280</v>
      </c>
      <c r="E81" s="57" t="s">
        <v>1118</v>
      </c>
      <c r="F81" s="58" t="s">
        <v>1306</v>
      </c>
    </row>
    <row r="82" spans="1:6" ht="17.45" customHeight="1" x14ac:dyDescent="0.2">
      <c r="A82" s="56" t="s">
        <v>1323</v>
      </c>
      <c r="B82" s="112" t="s">
        <v>1324</v>
      </c>
      <c r="C82" s="54">
        <v>8268</v>
      </c>
      <c r="D82" s="60" t="s">
        <v>1280</v>
      </c>
      <c r="E82" s="57" t="s">
        <v>1305</v>
      </c>
      <c r="F82" s="58" t="s">
        <v>1325</v>
      </c>
    </row>
    <row r="83" spans="1:6" ht="17.45" customHeight="1" x14ac:dyDescent="0.2">
      <c r="A83" s="56" t="s">
        <v>1326</v>
      </c>
      <c r="B83" s="112" t="s">
        <v>1327</v>
      </c>
      <c r="C83" s="54">
        <v>8268</v>
      </c>
      <c r="D83" s="55" t="s">
        <v>1276</v>
      </c>
      <c r="E83" s="57" t="s">
        <v>1170</v>
      </c>
      <c r="F83" s="58" t="s">
        <v>1325</v>
      </c>
    </row>
    <row r="84" spans="1:6" ht="17.45" customHeight="1" x14ac:dyDescent="0.2">
      <c r="A84" s="56" t="s">
        <v>1328</v>
      </c>
      <c r="B84" s="112">
        <v>228604</v>
      </c>
      <c r="C84" s="54">
        <v>8268</v>
      </c>
      <c r="D84" s="55" t="s">
        <v>1280</v>
      </c>
      <c r="E84" s="57" t="s">
        <v>1118</v>
      </c>
      <c r="F84" s="58" t="s">
        <v>1329</v>
      </c>
    </row>
    <row r="85" spans="1:6" ht="17.45" customHeight="1" x14ac:dyDescent="0.2">
      <c r="A85" s="56" t="s">
        <v>1330</v>
      </c>
      <c r="B85" s="112">
        <v>228606</v>
      </c>
      <c r="C85" s="54">
        <v>8268</v>
      </c>
      <c r="D85" s="55" t="s">
        <v>1280</v>
      </c>
      <c r="E85" s="57" t="s">
        <v>1123</v>
      </c>
      <c r="F85" s="58" t="s">
        <v>1331</v>
      </c>
    </row>
    <row r="86" spans="1:6" ht="17.45" customHeight="1" x14ac:dyDescent="0.2">
      <c r="A86" s="56" t="s">
        <v>1332</v>
      </c>
      <c r="B86" s="112" t="s">
        <v>1333</v>
      </c>
      <c r="C86" s="54">
        <v>8268</v>
      </c>
      <c r="D86" s="55" t="s">
        <v>1280</v>
      </c>
      <c r="E86" s="57" t="s">
        <v>1118</v>
      </c>
      <c r="F86" s="58" t="s">
        <v>1306</v>
      </c>
    </row>
    <row r="87" spans="1:6" ht="17.45" customHeight="1" x14ac:dyDescent="0.2">
      <c r="A87" s="56" t="s">
        <v>1334</v>
      </c>
      <c r="B87" s="112" t="s">
        <v>1335</v>
      </c>
      <c r="C87" s="54">
        <v>8268</v>
      </c>
      <c r="D87" s="60" t="s">
        <v>1276</v>
      </c>
      <c r="E87" s="57" t="s">
        <v>1305</v>
      </c>
      <c r="F87" s="58" t="s">
        <v>1325</v>
      </c>
    </row>
    <row r="88" spans="1:6" ht="17.45" customHeight="1" x14ac:dyDescent="0.2">
      <c r="A88" s="56" t="s">
        <v>1336</v>
      </c>
      <c r="B88" s="112" t="s">
        <v>1337</v>
      </c>
      <c r="C88" s="54">
        <v>8268</v>
      </c>
      <c r="D88" s="55" t="s">
        <v>1338</v>
      </c>
      <c r="E88" s="57" t="s">
        <v>1170</v>
      </c>
      <c r="F88" s="58" t="s">
        <v>1325</v>
      </c>
    </row>
    <row r="89" spans="1:6" ht="17.45" customHeight="1" x14ac:dyDescent="0.2">
      <c r="A89" s="56" t="s">
        <v>1839</v>
      </c>
      <c r="B89" s="112">
        <v>238603</v>
      </c>
      <c r="C89" s="54">
        <v>8268</v>
      </c>
      <c r="D89" s="55" t="s">
        <v>1338</v>
      </c>
      <c r="E89" s="57" t="s">
        <v>1118</v>
      </c>
      <c r="F89" s="58" t="s">
        <v>1840</v>
      </c>
    </row>
    <row r="90" spans="1:6" ht="17.45" customHeight="1" x14ac:dyDescent="0.2">
      <c r="A90" s="56" t="s">
        <v>1842</v>
      </c>
      <c r="B90" s="112">
        <v>238604</v>
      </c>
      <c r="C90" s="54">
        <v>8268</v>
      </c>
      <c r="D90" s="55" t="s">
        <v>1338</v>
      </c>
      <c r="E90" s="57" t="s">
        <v>1123</v>
      </c>
      <c r="F90" s="56" t="s">
        <v>1841</v>
      </c>
    </row>
    <row r="91" spans="1:6" ht="17.45" customHeight="1" x14ac:dyDescent="0.2">
      <c r="A91" s="56" t="s">
        <v>1339</v>
      </c>
      <c r="B91" s="112" t="s">
        <v>1340</v>
      </c>
      <c r="C91" s="54">
        <v>8272</v>
      </c>
      <c r="D91" s="55" t="s">
        <v>1341</v>
      </c>
      <c r="E91" s="57" t="s">
        <v>1118</v>
      </c>
      <c r="F91" s="58" t="s">
        <v>1342</v>
      </c>
    </row>
    <row r="92" spans="1:6" ht="17.45" customHeight="1" x14ac:dyDescent="0.2">
      <c r="A92" s="56" t="s">
        <v>1343</v>
      </c>
      <c r="B92" s="112" t="s">
        <v>1344</v>
      </c>
      <c r="C92" s="54">
        <v>8272</v>
      </c>
      <c r="D92" s="55" t="s">
        <v>1345</v>
      </c>
      <c r="E92" s="57" t="s">
        <v>1118</v>
      </c>
      <c r="F92" s="58" t="s">
        <v>1346</v>
      </c>
    </row>
    <row r="93" spans="1:6" ht="17.45" customHeight="1" x14ac:dyDescent="0.2">
      <c r="A93" s="53" t="s">
        <v>1347</v>
      </c>
      <c r="B93" s="112" t="s">
        <v>1348</v>
      </c>
      <c r="C93" s="58">
        <v>8279</v>
      </c>
      <c r="D93" s="61" t="s">
        <v>1349</v>
      </c>
      <c r="E93" s="57" t="s">
        <v>1096</v>
      </c>
      <c r="F93" s="65" t="s">
        <v>1103</v>
      </c>
    </row>
    <row r="94" spans="1:6" ht="17.45" customHeight="1" x14ac:dyDescent="0.2">
      <c r="A94" s="56" t="s">
        <v>1350</v>
      </c>
      <c r="B94" s="112" t="s">
        <v>1351</v>
      </c>
      <c r="C94" s="54">
        <v>8272</v>
      </c>
      <c r="D94" s="55" t="s">
        <v>1345</v>
      </c>
      <c r="E94" s="57" t="s">
        <v>1118</v>
      </c>
      <c r="F94" s="58" t="s">
        <v>1352</v>
      </c>
    </row>
    <row r="95" spans="1:6" ht="17.45" customHeight="1" x14ac:dyDescent="0.2">
      <c r="A95" s="56" t="s">
        <v>1353</v>
      </c>
      <c r="B95" s="112" t="s">
        <v>1354</v>
      </c>
      <c r="C95" s="54">
        <v>8272</v>
      </c>
      <c r="D95" s="55" t="s">
        <v>1355</v>
      </c>
      <c r="E95" s="57" t="s">
        <v>1170</v>
      </c>
      <c r="F95" s="58" t="s">
        <v>1356</v>
      </c>
    </row>
    <row r="96" spans="1:6" ht="17.45" customHeight="1" x14ac:dyDescent="0.2">
      <c r="A96" s="56" t="s">
        <v>1357</v>
      </c>
      <c r="B96" s="112" t="s">
        <v>1358</v>
      </c>
      <c r="C96" s="54">
        <v>8272</v>
      </c>
      <c r="D96" s="55" t="s">
        <v>1359</v>
      </c>
      <c r="E96" s="57" t="s">
        <v>1170</v>
      </c>
      <c r="F96" s="58" t="s">
        <v>1128</v>
      </c>
    </row>
    <row r="97" spans="1:6" ht="17.45" customHeight="1" x14ac:dyDescent="0.2">
      <c r="A97" s="56" t="s">
        <v>1360</v>
      </c>
      <c r="B97" s="181" t="s">
        <v>1361</v>
      </c>
      <c r="C97" s="54">
        <v>8272</v>
      </c>
      <c r="D97" s="55" t="s">
        <v>1359</v>
      </c>
      <c r="E97" s="57" t="s">
        <v>1118</v>
      </c>
      <c r="F97" s="58" t="s">
        <v>1352</v>
      </c>
    </row>
    <row r="98" spans="1:6" ht="17.45" customHeight="1" x14ac:dyDescent="0.2">
      <c r="A98" s="56" t="s">
        <v>1362</v>
      </c>
      <c r="B98" s="181">
        <v>28297</v>
      </c>
      <c r="C98" s="54">
        <v>8272</v>
      </c>
      <c r="D98" s="55" t="s">
        <v>1359</v>
      </c>
      <c r="E98" s="57" t="s">
        <v>1170</v>
      </c>
      <c r="F98" s="58" t="s">
        <v>1352</v>
      </c>
    </row>
    <row r="99" spans="1:6" ht="17.45" customHeight="1" x14ac:dyDescent="0.2">
      <c r="A99" s="159" t="s">
        <v>1363</v>
      </c>
      <c r="B99" s="181" t="s">
        <v>1364</v>
      </c>
      <c r="C99" s="54">
        <v>8272</v>
      </c>
      <c r="D99" s="55" t="s">
        <v>1359</v>
      </c>
      <c r="E99" s="57" t="s">
        <v>1096</v>
      </c>
      <c r="F99" s="58" t="s">
        <v>1212</v>
      </c>
    </row>
    <row r="100" spans="1:6" ht="17.45" customHeight="1" x14ac:dyDescent="0.2">
      <c r="A100" s="56" t="s">
        <v>1365</v>
      </c>
      <c r="B100" s="112" t="s">
        <v>1366</v>
      </c>
      <c r="C100" s="54">
        <v>8272</v>
      </c>
      <c r="D100" s="55" t="s">
        <v>1359</v>
      </c>
      <c r="E100" s="57" t="s">
        <v>1100</v>
      </c>
      <c r="F100" s="58" t="s">
        <v>1212</v>
      </c>
    </row>
    <row r="101" spans="1:6" ht="17.45" customHeight="1" x14ac:dyDescent="0.2">
      <c r="A101" s="56" t="s">
        <v>1367</v>
      </c>
      <c r="B101" s="112" t="s">
        <v>1368</v>
      </c>
      <c r="C101" s="54">
        <v>8265</v>
      </c>
      <c r="D101" s="55" t="s">
        <v>1369</v>
      </c>
      <c r="E101" s="57" t="s">
        <v>258</v>
      </c>
      <c r="F101" s="58" t="s">
        <v>1370</v>
      </c>
    </row>
    <row r="102" spans="1:6" ht="17.45" customHeight="1" x14ac:dyDescent="0.2">
      <c r="A102" s="56" t="s">
        <v>1371</v>
      </c>
      <c r="B102" s="112" t="s">
        <v>1372</v>
      </c>
      <c r="C102" s="54">
        <v>8265</v>
      </c>
      <c r="D102" s="55" t="s">
        <v>1369</v>
      </c>
      <c r="E102" s="57" t="s">
        <v>258</v>
      </c>
      <c r="F102" s="58" t="s">
        <v>1373</v>
      </c>
    </row>
    <row r="103" spans="1:6" ht="17.45" customHeight="1" x14ac:dyDescent="0.2">
      <c r="A103" s="56" t="s">
        <v>1374</v>
      </c>
      <c r="B103" s="112" t="s">
        <v>1375</v>
      </c>
      <c r="C103" s="54">
        <v>8265</v>
      </c>
      <c r="D103" s="55" t="s">
        <v>1369</v>
      </c>
      <c r="E103" s="57" t="s">
        <v>258</v>
      </c>
      <c r="F103" s="58" t="s">
        <v>1376</v>
      </c>
    </row>
    <row r="104" spans="1:6" ht="17.45" customHeight="1" x14ac:dyDescent="0.2">
      <c r="A104" s="56" t="s">
        <v>1377</v>
      </c>
      <c r="B104" s="112" t="s">
        <v>1378</v>
      </c>
      <c r="C104" s="54">
        <v>8265</v>
      </c>
      <c r="D104" s="55" t="s">
        <v>1369</v>
      </c>
      <c r="E104" s="57" t="s">
        <v>258</v>
      </c>
      <c r="F104" s="58" t="s">
        <v>1373</v>
      </c>
    </row>
    <row r="105" spans="1:6" ht="17.45" customHeight="1" x14ac:dyDescent="0.2">
      <c r="A105" s="56" t="s">
        <v>1379</v>
      </c>
      <c r="B105" s="112" t="s">
        <v>1380</v>
      </c>
      <c r="C105" s="54">
        <v>8265</v>
      </c>
      <c r="D105" s="55" t="s">
        <v>1369</v>
      </c>
      <c r="E105" s="57" t="s">
        <v>258</v>
      </c>
      <c r="F105" s="58" t="s">
        <v>1370</v>
      </c>
    </row>
    <row r="106" spans="1:6" ht="17.45" customHeight="1" x14ac:dyDescent="0.2">
      <c r="A106" s="58" t="s">
        <v>1381</v>
      </c>
      <c r="B106" s="112" t="s">
        <v>1382</v>
      </c>
      <c r="C106" s="54">
        <v>8265</v>
      </c>
      <c r="D106" s="55" t="s">
        <v>1369</v>
      </c>
      <c r="E106" s="57" t="s">
        <v>1118</v>
      </c>
      <c r="F106" s="58" t="s">
        <v>1383</v>
      </c>
    </row>
    <row r="107" spans="1:6" ht="17.45" customHeight="1" x14ac:dyDescent="0.2">
      <c r="A107" s="56" t="s">
        <v>1384</v>
      </c>
      <c r="B107" s="112" t="s">
        <v>1385</v>
      </c>
      <c r="C107" s="54">
        <v>8265</v>
      </c>
      <c r="D107" s="55" t="s">
        <v>1369</v>
      </c>
      <c r="E107" s="57" t="s">
        <v>1123</v>
      </c>
      <c r="F107" s="58" t="s">
        <v>1300</v>
      </c>
    </row>
    <row r="108" spans="1:6" ht="17.45" customHeight="1" x14ac:dyDescent="0.2">
      <c r="A108" s="62" t="s">
        <v>1386</v>
      </c>
      <c r="B108" s="112" t="s">
        <v>1387</v>
      </c>
      <c r="C108" s="54">
        <v>8265</v>
      </c>
      <c r="D108" s="55" t="s">
        <v>1369</v>
      </c>
      <c r="E108" s="57" t="s">
        <v>1118</v>
      </c>
      <c r="F108" s="58" t="s">
        <v>1388</v>
      </c>
    </row>
    <row r="109" spans="1:6" ht="17.45" customHeight="1" x14ac:dyDescent="0.2">
      <c r="A109" s="56" t="s">
        <v>1389</v>
      </c>
      <c r="B109" s="112" t="s">
        <v>1390</v>
      </c>
      <c r="C109" s="54">
        <v>8265</v>
      </c>
      <c r="D109" s="55" t="s">
        <v>1369</v>
      </c>
      <c r="E109" s="57" t="s">
        <v>1123</v>
      </c>
      <c r="F109" s="58" t="s">
        <v>1391</v>
      </c>
    </row>
    <row r="110" spans="1:6" ht="17.45" customHeight="1" x14ac:dyDescent="0.2">
      <c r="A110" s="56" t="s">
        <v>1392</v>
      </c>
      <c r="B110" s="112" t="s">
        <v>1393</v>
      </c>
      <c r="C110" s="54">
        <v>8265</v>
      </c>
      <c r="D110" s="55" t="s">
        <v>1369</v>
      </c>
      <c r="E110" s="57" t="s">
        <v>1123</v>
      </c>
      <c r="F110" s="58" t="s">
        <v>1306</v>
      </c>
    </row>
    <row r="111" spans="1:6" ht="17.45" customHeight="1" x14ac:dyDescent="0.2">
      <c r="A111" s="56" t="s">
        <v>1394</v>
      </c>
      <c r="B111" s="112" t="s">
        <v>1395</v>
      </c>
      <c r="C111" s="54">
        <v>8265</v>
      </c>
      <c r="D111" s="55" t="s">
        <v>1369</v>
      </c>
      <c r="E111" s="57" t="s">
        <v>1118</v>
      </c>
      <c r="F111" s="58" t="s">
        <v>1396</v>
      </c>
    </row>
    <row r="112" spans="1:6" ht="17.45" customHeight="1" x14ac:dyDescent="0.2">
      <c r="A112" s="56" t="s">
        <v>1397</v>
      </c>
      <c r="B112" s="112" t="s">
        <v>1398</v>
      </c>
      <c r="C112" s="54">
        <v>8265</v>
      </c>
      <c r="D112" s="55" t="s">
        <v>1369</v>
      </c>
      <c r="E112" s="57" t="s">
        <v>1123</v>
      </c>
      <c r="F112" s="58" t="s">
        <v>1399</v>
      </c>
    </row>
    <row r="113" spans="1:13" ht="17.45" customHeight="1" x14ac:dyDescent="0.2">
      <c r="A113" s="56" t="s">
        <v>1400</v>
      </c>
      <c r="B113" s="112" t="s">
        <v>1401</v>
      </c>
      <c r="C113" s="54">
        <v>8265</v>
      </c>
      <c r="D113" s="55" t="s">
        <v>1369</v>
      </c>
      <c r="E113" s="57" t="s">
        <v>1118</v>
      </c>
      <c r="F113" s="58" t="s">
        <v>1402</v>
      </c>
    </row>
    <row r="114" spans="1:13" ht="17.45" customHeight="1" x14ac:dyDescent="0.2">
      <c r="A114" s="56" t="s">
        <v>1403</v>
      </c>
      <c r="B114" s="112" t="s">
        <v>1404</v>
      </c>
      <c r="C114" s="54">
        <v>8265</v>
      </c>
      <c r="D114" s="55" t="s">
        <v>1369</v>
      </c>
      <c r="E114" s="57" t="s">
        <v>1123</v>
      </c>
      <c r="F114" s="58" t="s">
        <v>1405</v>
      </c>
    </row>
    <row r="115" spans="1:13" ht="17.45" customHeight="1" x14ac:dyDescent="0.2">
      <c r="A115" s="56" t="s">
        <v>1406</v>
      </c>
      <c r="B115" s="112" t="s">
        <v>1407</v>
      </c>
      <c r="C115" s="54">
        <v>8265</v>
      </c>
      <c r="D115" s="55" t="s">
        <v>1369</v>
      </c>
      <c r="E115" s="57" t="s">
        <v>1123</v>
      </c>
      <c r="F115" s="58" t="s">
        <v>1408</v>
      </c>
    </row>
    <row r="116" spans="1:13" ht="17.45" customHeight="1" x14ac:dyDescent="0.2">
      <c r="A116" s="56" t="s">
        <v>1409</v>
      </c>
      <c r="B116" s="112" t="s">
        <v>1410</v>
      </c>
      <c r="C116" s="54">
        <v>8265</v>
      </c>
      <c r="D116" s="55" t="s">
        <v>1369</v>
      </c>
      <c r="E116" s="57" t="s">
        <v>1123</v>
      </c>
      <c r="F116" s="58" t="s">
        <v>1411</v>
      </c>
    </row>
    <row r="117" spans="1:13" ht="17.45" customHeight="1" x14ac:dyDescent="0.2">
      <c r="A117" s="56" t="s">
        <v>1412</v>
      </c>
      <c r="B117" s="112">
        <v>228610</v>
      </c>
      <c r="C117" s="54">
        <v>8265</v>
      </c>
      <c r="D117" s="55" t="s">
        <v>1369</v>
      </c>
      <c r="E117" s="57" t="s">
        <v>1118</v>
      </c>
      <c r="F117" s="56" t="s">
        <v>1413</v>
      </c>
    </row>
    <row r="118" spans="1:13" ht="17.45" customHeight="1" x14ac:dyDescent="0.2">
      <c r="A118" s="56" t="s">
        <v>1414</v>
      </c>
      <c r="B118" s="112" t="s">
        <v>1415</v>
      </c>
      <c r="C118" s="54">
        <v>8265</v>
      </c>
      <c r="D118" s="55" t="s">
        <v>1369</v>
      </c>
      <c r="E118" s="57" t="s">
        <v>1123</v>
      </c>
      <c r="F118" s="56" t="s">
        <v>1416</v>
      </c>
    </row>
    <row r="119" spans="1:13" ht="17.45" customHeight="1" x14ac:dyDescent="0.2">
      <c r="A119" s="56" t="s">
        <v>1417</v>
      </c>
      <c r="B119" s="112">
        <v>228606</v>
      </c>
      <c r="C119" s="54">
        <v>8265</v>
      </c>
      <c r="D119" s="55" t="s">
        <v>1369</v>
      </c>
      <c r="E119" s="57" t="s">
        <v>1118</v>
      </c>
      <c r="F119" s="56" t="s">
        <v>1383</v>
      </c>
      <c r="H119" s="137"/>
    </row>
    <row r="120" spans="1:13" ht="17.45" customHeight="1" x14ac:dyDescent="0.2">
      <c r="A120" s="56" t="s">
        <v>1418</v>
      </c>
      <c r="B120" s="112">
        <v>228607</v>
      </c>
      <c r="C120" s="54">
        <v>8265</v>
      </c>
      <c r="D120" s="55" t="s">
        <v>1369</v>
      </c>
      <c r="E120" s="57" t="s">
        <v>1123</v>
      </c>
      <c r="F120" s="56" t="s">
        <v>1419</v>
      </c>
      <c r="H120" s="56"/>
      <c r="I120" s="112"/>
      <c r="J120" s="54"/>
      <c r="K120" s="55"/>
      <c r="L120" s="57"/>
      <c r="M120" s="58"/>
    </row>
    <row r="121" spans="1:13" ht="17.45" customHeight="1" x14ac:dyDescent="0.2">
      <c r="A121" s="56" t="s">
        <v>1420</v>
      </c>
      <c r="B121" s="112" t="s">
        <v>1421</v>
      </c>
      <c r="C121" s="54">
        <v>8265</v>
      </c>
      <c r="D121" s="55" t="s">
        <v>1369</v>
      </c>
      <c r="E121" s="57" t="s">
        <v>1096</v>
      </c>
      <c r="F121" s="58" t="s">
        <v>1422</v>
      </c>
      <c r="H121" s="56"/>
      <c r="I121" s="112"/>
      <c r="J121" s="54"/>
      <c r="K121" s="55"/>
      <c r="L121" s="57"/>
      <c r="M121" s="58"/>
    </row>
    <row r="122" spans="1:13" ht="17.45" customHeight="1" x14ac:dyDescent="0.2">
      <c r="A122" s="56" t="s">
        <v>1423</v>
      </c>
      <c r="B122" s="112" t="s">
        <v>1424</v>
      </c>
      <c r="C122" s="54">
        <v>8265</v>
      </c>
      <c r="D122" s="55" t="s">
        <v>1369</v>
      </c>
      <c r="E122" s="57" t="s">
        <v>1118</v>
      </c>
      <c r="F122" s="58" t="s">
        <v>1425</v>
      </c>
    </row>
    <row r="123" spans="1:13" ht="17.45" customHeight="1" x14ac:dyDescent="0.2">
      <c r="A123" s="56" t="s">
        <v>1426</v>
      </c>
      <c r="B123" s="112" t="s">
        <v>1427</v>
      </c>
      <c r="C123" s="54">
        <v>8265</v>
      </c>
      <c r="D123" s="55" t="s">
        <v>1369</v>
      </c>
      <c r="E123" s="57" t="s">
        <v>1096</v>
      </c>
      <c r="F123" s="58" t="s">
        <v>1425</v>
      </c>
    </row>
    <row r="124" spans="1:13" ht="17.45" customHeight="1" x14ac:dyDescent="0.2">
      <c r="A124" s="56" t="s">
        <v>1428</v>
      </c>
      <c r="B124" s="112" t="s">
        <v>1429</v>
      </c>
      <c r="C124" s="54">
        <v>8265</v>
      </c>
      <c r="D124" s="55" t="s">
        <v>1369</v>
      </c>
      <c r="E124" s="57" t="s">
        <v>1100</v>
      </c>
      <c r="F124" s="58" t="s">
        <v>1425</v>
      </c>
      <c r="H124" s="113"/>
    </row>
    <row r="125" spans="1:13" ht="17.45" customHeight="1" x14ac:dyDescent="0.2">
      <c r="A125" s="56" t="s">
        <v>1430</v>
      </c>
      <c r="B125" s="112" t="s">
        <v>1431</v>
      </c>
      <c r="C125" s="54">
        <v>8265</v>
      </c>
      <c r="D125" s="55" t="s">
        <v>1369</v>
      </c>
      <c r="E125" s="57" t="s">
        <v>1118</v>
      </c>
      <c r="F125" s="58" t="s">
        <v>1352</v>
      </c>
      <c r="H125" s="53"/>
      <c r="I125" s="112"/>
      <c r="J125" s="53"/>
      <c r="K125" s="61"/>
      <c r="L125" s="57"/>
      <c r="M125" s="65"/>
    </row>
    <row r="126" spans="1:13" ht="17.45" customHeight="1" x14ac:dyDescent="0.2">
      <c r="A126" s="56" t="s">
        <v>1432</v>
      </c>
      <c r="B126" s="112" t="s">
        <v>1433</v>
      </c>
      <c r="C126" s="54">
        <v>8265</v>
      </c>
      <c r="D126" s="55" t="s">
        <v>1369</v>
      </c>
      <c r="E126" s="57" t="s">
        <v>1123</v>
      </c>
      <c r="F126" s="58" t="s">
        <v>1434</v>
      </c>
      <c r="H126" s="53"/>
      <c r="I126" s="112"/>
      <c r="J126" s="53"/>
      <c r="K126" s="61"/>
      <c r="L126" s="57"/>
      <c r="M126" s="65"/>
    </row>
    <row r="127" spans="1:13" ht="17.45" customHeight="1" x14ac:dyDescent="0.2">
      <c r="A127" s="56" t="s">
        <v>1435</v>
      </c>
      <c r="B127" s="112" t="s">
        <v>1436</v>
      </c>
      <c r="C127" s="54">
        <v>8265</v>
      </c>
      <c r="D127" s="55" t="s">
        <v>1369</v>
      </c>
      <c r="E127" s="57" t="s">
        <v>1118</v>
      </c>
      <c r="F127" s="58" t="s">
        <v>1352</v>
      </c>
      <c r="H127" s="53"/>
      <c r="I127" s="112"/>
      <c r="J127" s="53"/>
      <c r="K127" s="61"/>
      <c r="L127" s="57"/>
      <c r="M127" s="65"/>
    </row>
    <row r="128" spans="1:13" ht="17.45" customHeight="1" x14ac:dyDescent="0.2">
      <c r="A128" s="56" t="s">
        <v>1437</v>
      </c>
      <c r="B128" s="112" t="s">
        <v>1438</v>
      </c>
      <c r="C128" s="54">
        <v>8265</v>
      </c>
      <c r="D128" s="55" t="s">
        <v>1369</v>
      </c>
      <c r="E128" s="57" t="s">
        <v>1123</v>
      </c>
      <c r="F128" s="58" t="s">
        <v>1434</v>
      </c>
      <c r="H128" s="53"/>
      <c r="I128" s="112"/>
      <c r="J128" s="53"/>
      <c r="K128" s="61"/>
      <c r="L128" s="57"/>
      <c r="M128" s="65"/>
    </row>
    <row r="129" spans="1:13" ht="17.45" customHeight="1" x14ac:dyDescent="0.2">
      <c r="A129" s="56" t="s">
        <v>1439</v>
      </c>
      <c r="B129" s="112" t="s">
        <v>1440</v>
      </c>
      <c r="C129" s="54">
        <v>8265</v>
      </c>
      <c r="D129" s="55" t="s">
        <v>1369</v>
      </c>
      <c r="E129" s="57" t="s">
        <v>1118</v>
      </c>
      <c r="F129" s="58" t="s">
        <v>1145</v>
      </c>
      <c r="H129" s="53"/>
      <c r="I129" s="112"/>
      <c r="J129" s="53"/>
      <c r="K129" s="61"/>
      <c r="L129" s="57"/>
      <c r="M129" s="65"/>
    </row>
    <row r="130" spans="1:13" ht="17.45" customHeight="1" x14ac:dyDescent="0.2">
      <c r="A130" s="56" t="s">
        <v>1441</v>
      </c>
      <c r="B130" s="112" t="s">
        <v>1442</v>
      </c>
      <c r="C130" s="54">
        <v>8265</v>
      </c>
      <c r="D130" s="55" t="s">
        <v>1369</v>
      </c>
      <c r="E130" s="57" t="s">
        <v>1123</v>
      </c>
      <c r="F130" s="58" t="s">
        <v>1443</v>
      </c>
      <c r="H130" s="53"/>
      <c r="I130" s="112"/>
      <c r="J130" s="53"/>
      <c r="K130" s="61"/>
      <c r="L130" s="57"/>
      <c r="M130" s="65"/>
    </row>
    <row r="131" spans="1:13" ht="17.45" customHeight="1" x14ac:dyDescent="0.2">
      <c r="A131" s="56" t="s">
        <v>1444</v>
      </c>
      <c r="B131" s="112" t="s">
        <v>1445</v>
      </c>
      <c r="C131" s="54">
        <v>8265</v>
      </c>
      <c r="D131" s="55" t="s">
        <v>1369</v>
      </c>
      <c r="E131" s="57" t="s">
        <v>1118</v>
      </c>
      <c r="F131" s="58" t="s">
        <v>1446</v>
      </c>
      <c r="H131" s="53"/>
      <c r="I131" s="112"/>
      <c r="J131" s="53"/>
      <c r="K131" s="61"/>
      <c r="L131" s="57"/>
      <c r="M131" s="65"/>
    </row>
    <row r="132" spans="1:13" ht="17.45" customHeight="1" x14ac:dyDescent="0.2">
      <c r="A132" s="56" t="s">
        <v>1447</v>
      </c>
      <c r="B132" s="112" t="s">
        <v>1448</v>
      </c>
      <c r="C132" s="54">
        <v>8265</v>
      </c>
      <c r="D132" s="55" t="s">
        <v>1369</v>
      </c>
      <c r="E132" s="57" t="s">
        <v>1118</v>
      </c>
      <c r="F132" s="58" t="s">
        <v>1449</v>
      </c>
    </row>
    <row r="133" spans="1:13" ht="17.45" customHeight="1" x14ac:dyDescent="0.2">
      <c r="A133" s="56" t="s">
        <v>1450</v>
      </c>
      <c r="B133" s="112" t="s">
        <v>1451</v>
      </c>
      <c r="C133" s="54">
        <v>8265</v>
      </c>
      <c r="D133" s="55" t="s">
        <v>1369</v>
      </c>
      <c r="E133" s="57" t="s">
        <v>1123</v>
      </c>
      <c r="F133" s="58" t="s">
        <v>1217</v>
      </c>
    </row>
    <row r="134" spans="1:13" ht="17.45" customHeight="1" x14ac:dyDescent="0.2">
      <c r="A134" s="53" t="s">
        <v>1452</v>
      </c>
      <c r="B134" s="112" t="s">
        <v>1453</v>
      </c>
      <c r="C134" s="63">
        <v>8265</v>
      </c>
      <c r="D134" s="55" t="s">
        <v>1369</v>
      </c>
      <c r="E134" s="57" t="s">
        <v>1118</v>
      </c>
      <c r="F134" s="56" t="s">
        <v>1413</v>
      </c>
    </row>
    <row r="135" spans="1:13" ht="17.45" customHeight="1" x14ac:dyDescent="0.2">
      <c r="A135" s="56" t="s">
        <v>1454</v>
      </c>
      <c r="B135" s="112" t="s">
        <v>1455</v>
      </c>
      <c r="C135" s="54">
        <v>8265</v>
      </c>
      <c r="D135" s="55" t="s">
        <v>1369</v>
      </c>
      <c r="E135" s="57" t="s">
        <v>1170</v>
      </c>
      <c r="F135" s="58" t="s">
        <v>1306</v>
      </c>
    </row>
    <row r="136" spans="1:13" ht="17.45" customHeight="1" x14ac:dyDescent="0.2">
      <c r="A136" s="56" t="s">
        <v>1456</v>
      </c>
      <c r="B136" s="112" t="s">
        <v>1457</v>
      </c>
      <c r="C136" s="54">
        <v>8265</v>
      </c>
      <c r="D136" s="55" t="s">
        <v>1369</v>
      </c>
      <c r="E136" s="57" t="s">
        <v>1305</v>
      </c>
      <c r="F136" s="58" t="s">
        <v>1402</v>
      </c>
    </row>
    <row r="137" spans="1:13" ht="17.45" customHeight="1" x14ac:dyDescent="0.2">
      <c r="A137" s="56" t="s">
        <v>1458</v>
      </c>
      <c r="B137" s="112" t="s">
        <v>1459</v>
      </c>
      <c r="C137" s="54">
        <v>8265</v>
      </c>
      <c r="D137" s="55" t="s">
        <v>1369</v>
      </c>
      <c r="E137" s="57" t="s">
        <v>1118</v>
      </c>
      <c r="F137" s="58" t="s">
        <v>1460</v>
      </c>
    </row>
    <row r="138" spans="1:13" ht="17.45" customHeight="1" x14ac:dyDescent="0.2">
      <c r="A138" s="56" t="s">
        <v>1461</v>
      </c>
      <c r="B138" s="112" t="s">
        <v>1462</v>
      </c>
      <c r="C138" s="54">
        <v>8265</v>
      </c>
      <c r="D138" s="55" t="s">
        <v>1369</v>
      </c>
      <c r="E138" s="57" t="s">
        <v>1305</v>
      </c>
      <c r="F138" s="58" t="s">
        <v>1463</v>
      </c>
    </row>
    <row r="139" spans="1:13" ht="17.45" customHeight="1" x14ac:dyDescent="0.2">
      <c r="A139" s="56" t="s">
        <v>1464</v>
      </c>
      <c r="B139" s="112" t="s">
        <v>1465</v>
      </c>
      <c r="C139" s="54">
        <v>8265</v>
      </c>
      <c r="D139" s="55" t="s">
        <v>1369</v>
      </c>
      <c r="E139" s="57" t="s">
        <v>1170</v>
      </c>
      <c r="F139" s="58" t="s">
        <v>1463</v>
      </c>
    </row>
    <row r="140" spans="1:13" ht="17.45" customHeight="1" x14ac:dyDescent="0.2">
      <c r="A140" s="56" t="s">
        <v>1466</v>
      </c>
      <c r="B140" s="112" t="s">
        <v>1467</v>
      </c>
      <c r="C140" s="54">
        <v>8265</v>
      </c>
      <c r="D140" s="55" t="s">
        <v>1369</v>
      </c>
      <c r="E140" s="57" t="s">
        <v>1118</v>
      </c>
      <c r="F140" s="58" t="s">
        <v>1352</v>
      </c>
    </row>
    <row r="141" spans="1:13" ht="17.45" customHeight="1" x14ac:dyDescent="0.2">
      <c r="A141" s="56" t="s">
        <v>1468</v>
      </c>
      <c r="B141" s="112" t="s">
        <v>1469</v>
      </c>
      <c r="C141" s="54">
        <v>8265</v>
      </c>
      <c r="D141" s="55" t="s">
        <v>1369</v>
      </c>
      <c r="E141" s="57" t="s">
        <v>1170</v>
      </c>
      <c r="F141" s="58" t="s">
        <v>1470</v>
      </c>
    </row>
    <row r="142" spans="1:13" ht="17.45" customHeight="1" x14ac:dyDescent="0.2">
      <c r="A142" s="56" t="s">
        <v>1471</v>
      </c>
      <c r="B142" s="112" t="s">
        <v>1472</v>
      </c>
      <c r="C142" s="54">
        <v>8265</v>
      </c>
      <c r="D142" s="55" t="s">
        <v>1369</v>
      </c>
      <c r="E142" s="57" t="s">
        <v>1305</v>
      </c>
      <c r="F142" s="58" t="s">
        <v>1463</v>
      </c>
    </row>
    <row r="143" spans="1:13" ht="17.45" customHeight="1" x14ac:dyDescent="0.2">
      <c r="A143" s="56" t="s">
        <v>1473</v>
      </c>
      <c r="B143" s="112" t="s">
        <v>1474</v>
      </c>
      <c r="C143" s="56" t="s">
        <v>1475</v>
      </c>
      <c r="D143" s="55" t="s">
        <v>1369</v>
      </c>
      <c r="E143" s="57" t="s">
        <v>1118</v>
      </c>
      <c r="F143" s="58" t="s">
        <v>1476</v>
      </c>
    </row>
    <row r="144" spans="1:13" ht="17.45" customHeight="1" x14ac:dyDescent="0.2">
      <c r="A144" s="56" t="s">
        <v>1477</v>
      </c>
      <c r="B144" s="112" t="s">
        <v>1478</v>
      </c>
      <c r="C144" s="54">
        <v>8265</v>
      </c>
      <c r="D144" s="55" t="s">
        <v>1369</v>
      </c>
      <c r="E144" s="57" t="s">
        <v>1305</v>
      </c>
      <c r="F144" s="58" t="s">
        <v>1325</v>
      </c>
    </row>
    <row r="145" spans="1:6" ht="17.45" customHeight="1" x14ac:dyDescent="0.2">
      <c r="A145" s="56" t="s">
        <v>1479</v>
      </c>
      <c r="B145" s="112" t="s">
        <v>1480</v>
      </c>
      <c r="C145" s="54">
        <v>8265</v>
      </c>
      <c r="D145" s="55" t="s">
        <v>1369</v>
      </c>
      <c r="E145" s="57" t="s">
        <v>1170</v>
      </c>
      <c r="F145" s="58" t="s">
        <v>1325</v>
      </c>
    </row>
    <row r="146" spans="1:6" ht="17.45" customHeight="1" x14ac:dyDescent="0.2">
      <c r="A146" s="56" t="s">
        <v>1481</v>
      </c>
      <c r="B146" s="112" t="s">
        <v>1482</v>
      </c>
      <c r="C146" s="54">
        <v>8265</v>
      </c>
      <c r="D146" s="55" t="s">
        <v>1369</v>
      </c>
      <c r="E146" s="57" t="s">
        <v>1123</v>
      </c>
      <c r="F146" s="58" t="s">
        <v>1483</v>
      </c>
    </row>
    <row r="147" spans="1:6" ht="17.45" customHeight="1" x14ac:dyDescent="0.2">
      <c r="A147" s="56" t="s">
        <v>1484</v>
      </c>
      <c r="B147" s="112">
        <v>228602</v>
      </c>
      <c r="C147" s="54">
        <v>8265</v>
      </c>
      <c r="D147" s="55" t="s">
        <v>1369</v>
      </c>
      <c r="E147" s="57" t="s">
        <v>1118</v>
      </c>
      <c r="F147" s="58" t="s">
        <v>1485</v>
      </c>
    </row>
    <row r="148" spans="1:6" ht="17.45" customHeight="1" x14ac:dyDescent="0.2">
      <c r="A148" s="56" t="s">
        <v>1486</v>
      </c>
      <c r="B148" s="112" t="s">
        <v>1487</v>
      </c>
      <c r="C148" s="54">
        <v>8265</v>
      </c>
      <c r="D148" s="55" t="s">
        <v>1369</v>
      </c>
      <c r="E148" s="57" t="s">
        <v>1096</v>
      </c>
      <c r="F148" s="58" t="s">
        <v>1488</v>
      </c>
    </row>
    <row r="149" spans="1:6" ht="17.45" customHeight="1" x14ac:dyDescent="0.2">
      <c r="A149" s="56" t="s">
        <v>1489</v>
      </c>
      <c r="B149" s="112" t="s">
        <v>1490</v>
      </c>
      <c r="C149" s="54">
        <v>8265</v>
      </c>
      <c r="D149" s="55" t="s">
        <v>1369</v>
      </c>
      <c r="E149" s="57" t="s">
        <v>1305</v>
      </c>
      <c r="F149" s="58" t="s">
        <v>1402</v>
      </c>
    </row>
    <row r="150" spans="1:6" ht="17.45" customHeight="1" x14ac:dyDescent="0.2">
      <c r="A150" s="53" t="s">
        <v>1491</v>
      </c>
      <c r="B150" s="112" t="s">
        <v>1492</v>
      </c>
      <c r="C150" s="58">
        <v>8265</v>
      </c>
      <c r="D150" s="55" t="s">
        <v>1369</v>
      </c>
      <c r="E150" s="57" t="s">
        <v>1170</v>
      </c>
      <c r="F150" s="65" t="s">
        <v>1493</v>
      </c>
    </row>
    <row r="151" spans="1:6" ht="17.45" customHeight="1" x14ac:dyDescent="0.2">
      <c r="A151" s="63" t="s">
        <v>1494</v>
      </c>
      <c r="B151" s="181" t="s">
        <v>1495</v>
      </c>
      <c r="C151" s="58">
        <v>8265</v>
      </c>
      <c r="D151" s="55" t="s">
        <v>1369</v>
      </c>
      <c r="E151" s="57" t="s">
        <v>1305</v>
      </c>
      <c r="F151" s="65" t="s">
        <v>1496</v>
      </c>
    </row>
    <row r="152" spans="1:6" ht="17.45" customHeight="1" x14ac:dyDescent="0.2">
      <c r="A152" s="63" t="s">
        <v>1497</v>
      </c>
      <c r="B152" s="181" t="s">
        <v>1498</v>
      </c>
      <c r="C152" s="58">
        <v>8265</v>
      </c>
      <c r="D152" s="55" t="s">
        <v>1369</v>
      </c>
      <c r="E152" s="57" t="s">
        <v>1170</v>
      </c>
      <c r="F152" s="65" t="s">
        <v>1496</v>
      </c>
    </row>
    <row r="153" spans="1:6" ht="17.45" customHeight="1" x14ac:dyDescent="0.2">
      <c r="A153" s="56" t="s">
        <v>1499</v>
      </c>
      <c r="B153" s="112" t="s">
        <v>1500</v>
      </c>
      <c r="C153" s="54">
        <v>8265</v>
      </c>
      <c r="D153" s="55" t="s">
        <v>1369</v>
      </c>
      <c r="E153" s="57" t="s">
        <v>1096</v>
      </c>
      <c r="F153" s="58" t="s">
        <v>1501</v>
      </c>
    </row>
    <row r="154" spans="1:6" ht="17.45" customHeight="1" x14ac:dyDescent="0.2">
      <c r="A154" s="56" t="s">
        <v>1502</v>
      </c>
      <c r="B154" s="112" t="s">
        <v>1503</v>
      </c>
      <c r="C154" s="54">
        <v>8265</v>
      </c>
      <c r="D154" s="55" t="s">
        <v>1369</v>
      </c>
      <c r="E154" s="57" t="s">
        <v>1100</v>
      </c>
      <c r="F154" s="58" t="s">
        <v>1501</v>
      </c>
    </row>
    <row r="155" spans="1:6" ht="17.45" customHeight="1" x14ac:dyDescent="0.2">
      <c r="A155" s="56" t="s">
        <v>1504</v>
      </c>
      <c r="B155" s="112" t="s">
        <v>1505</v>
      </c>
      <c r="C155" s="54">
        <v>8265</v>
      </c>
      <c r="D155" s="55" t="s">
        <v>1369</v>
      </c>
      <c r="E155" s="57" t="s">
        <v>1305</v>
      </c>
      <c r="F155" s="58" t="s">
        <v>1506</v>
      </c>
    </row>
    <row r="156" spans="1:6" ht="17.45" customHeight="1" x14ac:dyDescent="0.2">
      <c r="A156" s="56" t="s">
        <v>1507</v>
      </c>
      <c r="B156" s="112" t="s">
        <v>1508</v>
      </c>
      <c r="C156" s="54">
        <v>8265</v>
      </c>
      <c r="D156" s="55" t="s">
        <v>1369</v>
      </c>
      <c r="E156" s="57" t="s">
        <v>1170</v>
      </c>
      <c r="F156" s="58" t="s">
        <v>1506</v>
      </c>
    </row>
    <row r="157" spans="1:6" ht="17.45" customHeight="1" x14ac:dyDescent="0.2">
      <c r="A157" s="56" t="s">
        <v>1509</v>
      </c>
      <c r="B157" s="112">
        <v>198617</v>
      </c>
      <c r="C157" s="54">
        <v>8265</v>
      </c>
      <c r="D157" s="55" t="s">
        <v>1369</v>
      </c>
      <c r="E157" s="57" t="s">
        <v>1305</v>
      </c>
      <c r="F157" s="58" t="s">
        <v>1314</v>
      </c>
    </row>
    <row r="158" spans="1:6" ht="17.45" customHeight="1" x14ac:dyDescent="0.2">
      <c r="A158" s="56" t="s">
        <v>1510</v>
      </c>
      <c r="B158" s="112">
        <v>198618</v>
      </c>
      <c r="C158" s="54">
        <v>8265</v>
      </c>
      <c r="D158" s="55" t="s">
        <v>1369</v>
      </c>
      <c r="E158" s="57" t="s">
        <v>1170</v>
      </c>
      <c r="F158" s="58" t="s">
        <v>1314</v>
      </c>
    </row>
    <row r="159" spans="1:6" ht="17.45" customHeight="1" x14ac:dyDescent="0.2">
      <c r="A159" s="56" t="s">
        <v>1511</v>
      </c>
      <c r="B159" s="112" t="s">
        <v>1512</v>
      </c>
      <c r="C159" s="54">
        <v>8266</v>
      </c>
      <c r="D159" s="55" t="s">
        <v>1117</v>
      </c>
      <c r="E159" s="57" t="s">
        <v>1118</v>
      </c>
      <c r="F159" s="58" t="s">
        <v>1513</v>
      </c>
    </row>
    <row r="160" spans="1:6" ht="17.45" customHeight="1" x14ac:dyDescent="0.2">
      <c r="A160" s="56" t="s">
        <v>1514</v>
      </c>
      <c r="B160" s="112" t="s">
        <v>1515</v>
      </c>
      <c r="C160" s="54">
        <v>8266</v>
      </c>
      <c r="D160" s="55" t="s">
        <v>1516</v>
      </c>
      <c r="E160" s="57" t="s">
        <v>1123</v>
      </c>
      <c r="F160" s="58" t="s">
        <v>1517</v>
      </c>
    </row>
    <row r="161" spans="1:6" ht="17.45" customHeight="1" x14ac:dyDescent="0.2">
      <c r="A161" s="56" t="s">
        <v>1518</v>
      </c>
      <c r="B161" s="112">
        <v>98612</v>
      </c>
      <c r="C161" s="54">
        <v>8266</v>
      </c>
      <c r="D161" s="55" t="s">
        <v>1122</v>
      </c>
      <c r="E161" s="57" t="s">
        <v>1118</v>
      </c>
      <c r="F161" s="58" t="s">
        <v>1519</v>
      </c>
    </row>
    <row r="162" spans="1:6" ht="17.45" customHeight="1" x14ac:dyDescent="0.2">
      <c r="A162" s="56" t="s">
        <v>1520</v>
      </c>
      <c r="B162" s="112" t="s">
        <v>1521</v>
      </c>
      <c r="C162" s="54">
        <v>8266</v>
      </c>
      <c r="D162" s="55" t="s">
        <v>1127</v>
      </c>
      <c r="E162" s="57" t="s">
        <v>1123</v>
      </c>
      <c r="F162" s="58" t="s">
        <v>1132</v>
      </c>
    </row>
    <row r="163" spans="1:6" ht="17.45" customHeight="1" x14ac:dyDescent="0.2">
      <c r="A163" s="56" t="s">
        <v>1522</v>
      </c>
      <c r="B163" s="112">
        <v>218608</v>
      </c>
      <c r="C163" s="54">
        <v>8266</v>
      </c>
      <c r="D163" s="55" t="s">
        <v>1127</v>
      </c>
      <c r="E163" s="57" t="s">
        <v>1118</v>
      </c>
      <c r="F163" s="58" t="s">
        <v>1519</v>
      </c>
    </row>
    <row r="164" spans="1:6" ht="17.45" customHeight="1" x14ac:dyDescent="0.2">
      <c r="A164" s="56" t="s">
        <v>1523</v>
      </c>
      <c r="B164" s="112">
        <v>218609</v>
      </c>
      <c r="C164" s="54">
        <v>8266</v>
      </c>
      <c r="D164" s="55" t="s">
        <v>1127</v>
      </c>
      <c r="E164" s="57" t="s">
        <v>1123</v>
      </c>
      <c r="F164" s="56" t="s">
        <v>1132</v>
      </c>
    </row>
    <row r="165" spans="1:6" ht="17.45" customHeight="1" x14ac:dyDescent="0.2">
      <c r="A165" s="56" t="s">
        <v>1524</v>
      </c>
      <c r="B165" s="112">
        <v>188603</v>
      </c>
      <c r="C165" s="54" t="s">
        <v>1150</v>
      </c>
      <c r="D165" s="55" t="s">
        <v>1151</v>
      </c>
      <c r="E165" s="57" t="s">
        <v>1100</v>
      </c>
      <c r="F165" s="58" t="s">
        <v>1525</v>
      </c>
    </row>
    <row r="166" spans="1:6" ht="17.45" customHeight="1" x14ac:dyDescent="0.2">
      <c r="A166" s="56" t="s">
        <v>1526</v>
      </c>
      <c r="B166" s="112">
        <v>198612</v>
      </c>
      <c r="C166" s="54" t="s">
        <v>1527</v>
      </c>
      <c r="D166" s="55" t="s">
        <v>1528</v>
      </c>
      <c r="E166" s="57" t="s">
        <v>1100</v>
      </c>
      <c r="F166" s="58" t="s">
        <v>1103</v>
      </c>
    </row>
    <row r="167" spans="1:6" ht="17.45" customHeight="1" x14ac:dyDescent="0.2">
      <c r="A167" s="56" t="s">
        <v>1529</v>
      </c>
      <c r="B167" s="112" t="s">
        <v>1530</v>
      </c>
      <c r="C167" s="54">
        <v>8279</v>
      </c>
      <c r="D167" s="55" t="s">
        <v>1531</v>
      </c>
      <c r="E167" s="57" t="s">
        <v>1100</v>
      </c>
      <c r="F167" s="58" t="s">
        <v>1103</v>
      </c>
    </row>
    <row r="168" spans="1:6" ht="17.45" customHeight="1" x14ac:dyDescent="0.2">
      <c r="A168" s="56" t="s">
        <v>1532</v>
      </c>
      <c r="B168" s="112">
        <v>198611</v>
      </c>
      <c r="C168" s="54">
        <v>8279</v>
      </c>
      <c r="D168" s="55" t="s">
        <v>1531</v>
      </c>
      <c r="E168" s="57" t="s">
        <v>1100</v>
      </c>
      <c r="F168" s="58" t="s">
        <v>1103</v>
      </c>
    </row>
    <row r="169" spans="1:6" ht="17.45" customHeight="1" x14ac:dyDescent="0.2">
      <c r="A169" s="56" t="s">
        <v>1533</v>
      </c>
      <c r="B169" s="112" t="s">
        <v>1534</v>
      </c>
      <c r="C169" s="54">
        <v>8278</v>
      </c>
      <c r="D169" s="55" t="s">
        <v>1535</v>
      </c>
      <c r="E169" s="57" t="s">
        <v>1305</v>
      </c>
      <c r="F169" s="53" t="s">
        <v>1536</v>
      </c>
    </row>
    <row r="170" spans="1:6" ht="17.45" customHeight="1" x14ac:dyDescent="0.2">
      <c r="A170" s="56" t="s">
        <v>1537</v>
      </c>
      <c r="B170" s="112" t="s">
        <v>1538</v>
      </c>
      <c r="C170" s="54">
        <v>8279</v>
      </c>
      <c r="D170" s="55" t="s">
        <v>1539</v>
      </c>
      <c r="E170" s="57" t="s">
        <v>1170</v>
      </c>
      <c r="F170" s="58" t="s">
        <v>1540</v>
      </c>
    </row>
    <row r="171" spans="1:6" ht="17.45" customHeight="1" x14ac:dyDescent="0.2">
      <c r="A171" s="56" t="s">
        <v>1541</v>
      </c>
      <c r="B171" s="112" t="s">
        <v>1542</v>
      </c>
      <c r="C171" s="54">
        <v>8279</v>
      </c>
      <c r="D171" s="55" t="s">
        <v>1539</v>
      </c>
      <c r="E171" s="57" t="s">
        <v>1118</v>
      </c>
      <c r="F171" s="58" t="s">
        <v>1543</v>
      </c>
    </row>
    <row r="172" spans="1:6" ht="17.45" customHeight="1" x14ac:dyDescent="0.2">
      <c r="A172" s="56" t="s">
        <v>1544</v>
      </c>
      <c r="B172" s="112" t="s">
        <v>1545</v>
      </c>
      <c r="C172" s="54">
        <v>8279</v>
      </c>
      <c r="D172" s="55" t="s">
        <v>1539</v>
      </c>
      <c r="E172" s="57" t="s">
        <v>1170</v>
      </c>
      <c r="F172" s="58" t="s">
        <v>1434</v>
      </c>
    </row>
    <row r="173" spans="1:6" ht="17.45" customHeight="1" x14ac:dyDescent="0.2">
      <c r="A173" s="56" t="s">
        <v>1546</v>
      </c>
      <c r="B173" s="112" t="s">
        <v>1547</v>
      </c>
      <c r="C173" s="54">
        <v>8279</v>
      </c>
      <c r="D173" s="55" t="s">
        <v>1539</v>
      </c>
      <c r="E173" s="57" t="s">
        <v>1118</v>
      </c>
      <c r="F173" s="58" t="s">
        <v>1548</v>
      </c>
    </row>
    <row r="174" spans="1:6" ht="17.45" customHeight="1" x14ac:dyDescent="0.2">
      <c r="A174" s="56" t="s">
        <v>1549</v>
      </c>
      <c r="B174" s="112" t="s">
        <v>1550</v>
      </c>
      <c r="C174" s="54">
        <v>8279</v>
      </c>
      <c r="D174" s="55" t="s">
        <v>1539</v>
      </c>
      <c r="E174" s="57" t="s">
        <v>1170</v>
      </c>
      <c r="F174" s="58" t="s">
        <v>1551</v>
      </c>
    </row>
    <row r="175" spans="1:6" ht="17.45" customHeight="1" x14ac:dyDescent="0.2">
      <c r="A175" s="56" t="s">
        <v>1552</v>
      </c>
      <c r="B175" s="112" t="s">
        <v>1553</v>
      </c>
      <c r="C175" s="54">
        <v>8279</v>
      </c>
      <c r="D175" s="55" t="s">
        <v>1539</v>
      </c>
      <c r="E175" s="57" t="s">
        <v>1118</v>
      </c>
      <c r="F175" s="58" t="s">
        <v>1554</v>
      </c>
    </row>
    <row r="176" spans="1:6" ht="17.45" customHeight="1" x14ac:dyDescent="0.2">
      <c r="A176" s="56" t="s">
        <v>1555</v>
      </c>
      <c r="B176" s="112" t="s">
        <v>1556</v>
      </c>
      <c r="C176" s="54">
        <v>8279</v>
      </c>
      <c r="D176" s="55" t="s">
        <v>1539</v>
      </c>
      <c r="E176" s="57" t="s">
        <v>1118</v>
      </c>
      <c r="F176" s="53" t="s">
        <v>1408</v>
      </c>
    </row>
    <row r="177" spans="1:6" ht="17.45" customHeight="1" x14ac:dyDescent="0.2">
      <c r="A177" s="56" t="s">
        <v>1557</v>
      </c>
      <c r="B177" s="112" t="s">
        <v>1558</v>
      </c>
      <c r="C177" s="54">
        <v>8279</v>
      </c>
      <c r="D177" s="55" t="s">
        <v>1539</v>
      </c>
      <c r="E177" s="57" t="s">
        <v>1123</v>
      </c>
      <c r="F177" s="58" t="s">
        <v>1559</v>
      </c>
    </row>
    <row r="178" spans="1:6" ht="17.45" customHeight="1" x14ac:dyDescent="0.2">
      <c r="A178" s="56" t="s">
        <v>1560</v>
      </c>
      <c r="B178" s="112">
        <v>198610</v>
      </c>
      <c r="C178" s="54" t="s">
        <v>1527</v>
      </c>
      <c r="D178" s="55" t="s">
        <v>1539</v>
      </c>
      <c r="E178" s="57" t="s">
        <v>1118</v>
      </c>
      <c r="F178" s="58" t="s">
        <v>1561</v>
      </c>
    </row>
    <row r="179" spans="1:6" ht="17.45" customHeight="1" x14ac:dyDescent="0.2">
      <c r="A179" s="56" t="s">
        <v>1562</v>
      </c>
      <c r="B179" s="112">
        <v>198614</v>
      </c>
      <c r="C179" s="54" t="s">
        <v>1527</v>
      </c>
      <c r="D179" s="55" t="s">
        <v>1539</v>
      </c>
      <c r="E179" s="57" t="s">
        <v>1197</v>
      </c>
      <c r="F179" s="58" t="s">
        <v>1563</v>
      </c>
    </row>
    <row r="180" spans="1:6" ht="17.45" customHeight="1" x14ac:dyDescent="0.2">
      <c r="A180" s="56" t="s">
        <v>1564</v>
      </c>
      <c r="B180" s="112" t="s">
        <v>1565</v>
      </c>
      <c r="C180" s="54">
        <v>8279</v>
      </c>
      <c r="D180" s="55" t="s">
        <v>1539</v>
      </c>
      <c r="E180" s="57" t="s">
        <v>1118</v>
      </c>
      <c r="F180" s="58" t="s">
        <v>1566</v>
      </c>
    </row>
    <row r="181" spans="1:6" ht="17.45" customHeight="1" x14ac:dyDescent="0.2">
      <c r="A181" s="56" t="s">
        <v>1567</v>
      </c>
      <c r="B181" s="112">
        <v>228660</v>
      </c>
      <c r="C181" s="54" t="s">
        <v>1058</v>
      </c>
      <c r="D181" s="55" t="s">
        <v>1568</v>
      </c>
      <c r="E181" s="57" t="s">
        <v>1096</v>
      </c>
      <c r="F181" s="58" t="s">
        <v>1103</v>
      </c>
    </row>
    <row r="182" spans="1:6" ht="17.45" customHeight="1" x14ac:dyDescent="0.2">
      <c r="A182" s="58" t="s">
        <v>1569</v>
      </c>
      <c r="B182" s="112" t="s">
        <v>1570</v>
      </c>
      <c r="C182" s="54">
        <v>9514</v>
      </c>
      <c r="D182" s="60" t="s">
        <v>1571</v>
      </c>
      <c r="E182" s="57" t="s">
        <v>1305</v>
      </c>
      <c r="F182" s="58" t="s">
        <v>1312</v>
      </c>
    </row>
    <row r="183" spans="1:6" ht="17.45" customHeight="1" x14ac:dyDescent="0.2">
      <c r="A183" s="56" t="s">
        <v>1572</v>
      </c>
      <c r="B183" s="112" t="s">
        <v>1573</v>
      </c>
      <c r="C183" s="54">
        <v>9514</v>
      </c>
      <c r="D183" s="55" t="s">
        <v>1574</v>
      </c>
      <c r="E183" s="57" t="s">
        <v>1170</v>
      </c>
      <c r="F183" s="58" t="s">
        <v>1312</v>
      </c>
    </row>
    <row r="184" spans="1:6" ht="17.45" customHeight="1" x14ac:dyDescent="0.2">
      <c r="A184" s="58" t="s">
        <v>1575</v>
      </c>
      <c r="B184" s="112" t="s">
        <v>1576</v>
      </c>
      <c r="C184" s="54">
        <v>9514</v>
      </c>
      <c r="D184" s="60" t="s">
        <v>1577</v>
      </c>
      <c r="E184" s="57" t="s">
        <v>1305</v>
      </c>
      <c r="F184" s="58" t="s">
        <v>1402</v>
      </c>
    </row>
    <row r="185" spans="1:6" ht="17.45" customHeight="1" x14ac:dyDescent="0.2">
      <c r="A185" s="56" t="s">
        <v>1578</v>
      </c>
      <c r="B185" s="112" t="s">
        <v>1579</v>
      </c>
      <c r="C185" s="54">
        <v>9514</v>
      </c>
      <c r="D185" s="55" t="s">
        <v>1580</v>
      </c>
      <c r="E185" s="57" t="s">
        <v>1170</v>
      </c>
      <c r="F185" s="58" t="s">
        <v>1402</v>
      </c>
    </row>
    <row r="186" spans="1:6" ht="17.45" customHeight="1" x14ac:dyDescent="0.2">
      <c r="A186" s="56" t="s">
        <v>1581</v>
      </c>
      <c r="B186" s="112" t="s">
        <v>1582</v>
      </c>
      <c r="C186" s="54">
        <v>9514</v>
      </c>
      <c r="D186" s="55" t="s">
        <v>1577</v>
      </c>
      <c r="E186" s="57" t="s">
        <v>1118</v>
      </c>
      <c r="F186" s="58" t="s">
        <v>1583</v>
      </c>
    </row>
    <row r="187" spans="1:6" ht="17.45" customHeight="1" x14ac:dyDescent="0.2">
      <c r="A187" s="56" t="s">
        <v>1584</v>
      </c>
      <c r="B187" s="112" t="s">
        <v>1585</v>
      </c>
      <c r="C187" s="54">
        <v>9514</v>
      </c>
      <c r="D187" s="55" t="s">
        <v>1580</v>
      </c>
      <c r="E187" s="57" t="s">
        <v>1118</v>
      </c>
      <c r="F187" s="58" t="s">
        <v>1586</v>
      </c>
    </row>
    <row r="188" spans="1:6" ht="17.45" customHeight="1" x14ac:dyDescent="0.2">
      <c r="A188" s="58" t="s">
        <v>1587</v>
      </c>
      <c r="B188" s="112" t="s">
        <v>1588</v>
      </c>
      <c r="C188" s="54">
        <v>9514</v>
      </c>
      <c r="D188" s="60" t="s">
        <v>1577</v>
      </c>
      <c r="E188" s="57" t="s">
        <v>1305</v>
      </c>
      <c r="F188" s="58" t="s">
        <v>1589</v>
      </c>
    </row>
    <row r="189" spans="1:6" ht="17.45" customHeight="1" x14ac:dyDescent="0.2">
      <c r="A189" s="56" t="s">
        <v>1590</v>
      </c>
      <c r="B189" s="112" t="s">
        <v>1591</v>
      </c>
      <c r="C189" s="54">
        <v>9514</v>
      </c>
      <c r="D189" s="55" t="s">
        <v>1571</v>
      </c>
      <c r="E189" s="57" t="s">
        <v>1170</v>
      </c>
      <c r="F189" s="58" t="s">
        <v>1589</v>
      </c>
    </row>
    <row r="190" spans="1:6" ht="17.45" customHeight="1" x14ac:dyDescent="0.2">
      <c r="A190" s="56" t="s">
        <v>1592</v>
      </c>
      <c r="B190" s="112" t="s">
        <v>1593</v>
      </c>
      <c r="C190" s="54">
        <v>9514</v>
      </c>
      <c r="D190" s="55" t="s">
        <v>1580</v>
      </c>
      <c r="E190" s="57" t="s">
        <v>1170</v>
      </c>
      <c r="F190" s="58" t="s">
        <v>1356</v>
      </c>
    </row>
    <row r="191" spans="1:6" ht="17.45" customHeight="1" x14ac:dyDescent="0.2">
      <c r="A191" s="56" t="s">
        <v>1594</v>
      </c>
      <c r="B191" s="112">
        <v>188606</v>
      </c>
      <c r="C191" s="54">
        <v>9514</v>
      </c>
      <c r="D191" s="55" t="s">
        <v>1580</v>
      </c>
      <c r="E191" s="57" t="s">
        <v>1118</v>
      </c>
      <c r="F191" s="58" t="s">
        <v>1586</v>
      </c>
    </row>
    <row r="192" spans="1:6" ht="17.45" customHeight="1" x14ac:dyDescent="0.2">
      <c r="A192" s="56" t="s">
        <v>1595</v>
      </c>
      <c r="B192" s="112">
        <v>188607</v>
      </c>
      <c r="C192" s="54">
        <v>9514</v>
      </c>
      <c r="D192" s="55" t="s">
        <v>1580</v>
      </c>
      <c r="E192" s="57" t="s">
        <v>1170</v>
      </c>
      <c r="F192" s="58" t="s">
        <v>1596</v>
      </c>
    </row>
    <row r="193" spans="1:6" ht="17.45" customHeight="1" x14ac:dyDescent="0.2">
      <c r="A193" s="56" t="s">
        <v>1597</v>
      </c>
      <c r="B193" s="181" t="s">
        <v>1598</v>
      </c>
      <c r="C193" s="54">
        <v>8268</v>
      </c>
      <c r="D193" s="55" t="s">
        <v>1280</v>
      </c>
      <c r="E193" s="57" t="s">
        <v>1123</v>
      </c>
      <c r="F193" s="58" t="s">
        <v>1325</v>
      </c>
    </row>
    <row r="194" spans="1:6" ht="17.45" customHeight="1" x14ac:dyDescent="0.2">
      <c r="A194" s="56" t="s">
        <v>1599</v>
      </c>
      <c r="B194" s="112" t="s">
        <v>1600</v>
      </c>
      <c r="C194" s="54">
        <v>8268</v>
      </c>
      <c r="D194" s="55" t="s">
        <v>1309</v>
      </c>
      <c r="E194" s="57" t="s">
        <v>1123</v>
      </c>
      <c r="F194" s="58" t="s">
        <v>1601</v>
      </c>
    </row>
    <row r="195" spans="1:6" ht="17.45" customHeight="1" x14ac:dyDescent="0.2">
      <c r="A195" s="56" t="s">
        <v>1602</v>
      </c>
      <c r="B195" s="112" t="s">
        <v>1603</v>
      </c>
      <c r="C195" s="54">
        <v>8268</v>
      </c>
      <c r="D195" s="55" t="s">
        <v>1280</v>
      </c>
      <c r="E195" s="57" t="s">
        <v>1123</v>
      </c>
      <c r="F195" s="58" t="s">
        <v>1399</v>
      </c>
    </row>
    <row r="196" spans="1:6" ht="17.45" customHeight="1" x14ac:dyDescent="0.2">
      <c r="A196" s="56" t="s">
        <v>1604</v>
      </c>
      <c r="B196" s="112">
        <v>218606</v>
      </c>
      <c r="C196" s="54">
        <v>8268</v>
      </c>
      <c r="D196" s="55" t="s">
        <v>1280</v>
      </c>
      <c r="E196" s="57" t="s">
        <v>1118</v>
      </c>
      <c r="F196" s="56" t="s">
        <v>1413</v>
      </c>
    </row>
    <row r="197" spans="1:6" ht="17.45" customHeight="1" x14ac:dyDescent="0.2">
      <c r="A197" s="56" t="s">
        <v>1605</v>
      </c>
      <c r="B197" s="112">
        <v>218607</v>
      </c>
      <c r="C197" s="54">
        <v>8268</v>
      </c>
      <c r="D197" s="55" t="s">
        <v>1280</v>
      </c>
      <c r="E197" s="57" t="s">
        <v>1123</v>
      </c>
      <c r="F197" s="56" t="s">
        <v>1606</v>
      </c>
    </row>
    <row r="198" spans="1:6" ht="17.45" customHeight="1" x14ac:dyDescent="0.2">
      <c r="A198" s="56" t="s">
        <v>1607</v>
      </c>
      <c r="B198" s="112" t="s">
        <v>1608</v>
      </c>
      <c r="C198" s="54">
        <v>8268</v>
      </c>
      <c r="D198" s="55" t="s">
        <v>1291</v>
      </c>
      <c r="E198" s="57" t="s">
        <v>1118</v>
      </c>
      <c r="F198" s="58" t="s">
        <v>1128</v>
      </c>
    </row>
    <row r="199" spans="1:6" ht="17.45" customHeight="1" x14ac:dyDescent="0.2">
      <c r="A199" s="56" t="s">
        <v>1609</v>
      </c>
      <c r="B199" s="112" t="s">
        <v>1610</v>
      </c>
      <c r="C199" s="54">
        <v>8268</v>
      </c>
      <c r="D199" s="55" t="s">
        <v>1291</v>
      </c>
      <c r="E199" s="57" t="s">
        <v>1123</v>
      </c>
      <c r="F199" s="58" t="s">
        <v>1405</v>
      </c>
    </row>
    <row r="200" spans="1:6" ht="17.45" customHeight="1" x14ac:dyDescent="0.2">
      <c r="A200" s="56" t="s">
        <v>1611</v>
      </c>
      <c r="B200" s="112" t="s">
        <v>1612</v>
      </c>
      <c r="C200" s="54">
        <v>8268</v>
      </c>
      <c r="D200" s="55" t="s">
        <v>1276</v>
      </c>
      <c r="E200" s="57" t="s">
        <v>1123</v>
      </c>
      <c r="F200" s="58" t="s">
        <v>1342</v>
      </c>
    </row>
    <row r="201" spans="1:6" ht="17.45" customHeight="1" x14ac:dyDescent="0.2">
      <c r="A201" s="56" t="s">
        <v>1613</v>
      </c>
      <c r="B201" s="112" t="s">
        <v>1614</v>
      </c>
      <c r="C201" s="54">
        <v>8266</v>
      </c>
      <c r="D201" s="55" t="s">
        <v>1154</v>
      </c>
      <c r="E201" s="57" t="s">
        <v>1096</v>
      </c>
      <c r="F201" s="56" t="s">
        <v>1615</v>
      </c>
    </row>
    <row r="202" spans="1:6" ht="17.45" customHeight="1" x14ac:dyDescent="0.2">
      <c r="A202" s="56" t="s">
        <v>1616</v>
      </c>
      <c r="B202" s="112">
        <v>228608</v>
      </c>
      <c r="C202" s="58" t="s">
        <v>1262</v>
      </c>
      <c r="D202" s="61" t="s">
        <v>1263</v>
      </c>
      <c r="E202" s="57" t="s">
        <v>1096</v>
      </c>
      <c r="F202" s="56" t="s">
        <v>1617</v>
      </c>
    </row>
    <row r="203" spans="1:6" ht="17.45" customHeight="1" x14ac:dyDescent="0.2">
      <c r="A203" s="53" t="s">
        <v>1618</v>
      </c>
      <c r="B203" s="112">
        <v>208668</v>
      </c>
      <c r="C203" s="58" t="s">
        <v>1262</v>
      </c>
      <c r="D203" s="61" t="s">
        <v>1263</v>
      </c>
      <c r="E203" s="57" t="s">
        <v>1118</v>
      </c>
      <c r="F203" s="65" t="s">
        <v>1561</v>
      </c>
    </row>
    <row r="204" spans="1:6" ht="17.45" customHeight="1" x14ac:dyDescent="0.2">
      <c r="A204" s="53" t="s">
        <v>1619</v>
      </c>
      <c r="B204" s="112">
        <v>198609</v>
      </c>
      <c r="C204" s="58" t="s">
        <v>1262</v>
      </c>
      <c r="D204" s="61" t="s">
        <v>1263</v>
      </c>
      <c r="E204" s="57" t="s">
        <v>1118</v>
      </c>
      <c r="F204" s="65" t="s">
        <v>1231</v>
      </c>
    </row>
    <row r="205" spans="1:6" ht="17.45" customHeight="1" x14ac:dyDescent="0.2">
      <c r="A205" s="56" t="s">
        <v>1620</v>
      </c>
      <c r="B205" s="112">
        <v>208672</v>
      </c>
      <c r="C205" s="58" t="s">
        <v>1262</v>
      </c>
      <c r="D205" s="61" t="s">
        <v>1263</v>
      </c>
      <c r="E205" s="57" t="s">
        <v>1170</v>
      </c>
      <c r="F205" s="58" t="s">
        <v>1402</v>
      </c>
    </row>
    <row r="206" spans="1:6" ht="17.45" customHeight="1" x14ac:dyDescent="0.2">
      <c r="A206" s="56" t="s">
        <v>1621</v>
      </c>
      <c r="B206" s="112">
        <v>198605</v>
      </c>
      <c r="C206" s="54" t="s">
        <v>1262</v>
      </c>
      <c r="D206" s="55" t="s">
        <v>1263</v>
      </c>
      <c r="E206" s="57" t="s">
        <v>258</v>
      </c>
      <c r="F206" s="53" t="s">
        <v>1622</v>
      </c>
    </row>
    <row r="207" spans="1:6" ht="17.45" customHeight="1" x14ac:dyDescent="0.2">
      <c r="A207" s="56" t="s">
        <v>1623</v>
      </c>
      <c r="B207" s="112">
        <v>198606</v>
      </c>
      <c r="C207" s="54" t="s">
        <v>1262</v>
      </c>
      <c r="D207" s="55" t="s">
        <v>1263</v>
      </c>
      <c r="E207" s="57" t="s">
        <v>258</v>
      </c>
      <c r="F207" s="53" t="s">
        <v>1244</v>
      </c>
    </row>
    <row r="208" spans="1:6" ht="17.45" customHeight="1" x14ac:dyDescent="0.2">
      <c r="A208" s="56" t="s">
        <v>1624</v>
      </c>
      <c r="B208" s="112">
        <v>208673</v>
      </c>
      <c r="C208" s="54">
        <v>8280</v>
      </c>
      <c r="D208" s="55" t="s">
        <v>1263</v>
      </c>
      <c r="E208" s="57" t="s">
        <v>1123</v>
      </c>
      <c r="F208" s="58" t="s">
        <v>1625</v>
      </c>
    </row>
    <row r="209" spans="1:6" ht="17.45" customHeight="1" x14ac:dyDescent="0.2">
      <c r="A209" s="56" t="s">
        <v>1626</v>
      </c>
      <c r="B209" s="112">
        <v>208666</v>
      </c>
      <c r="C209" s="58" t="s">
        <v>1262</v>
      </c>
      <c r="D209" s="55" t="s">
        <v>1263</v>
      </c>
      <c r="E209" s="57" t="s">
        <v>1096</v>
      </c>
      <c r="F209" s="65" t="s">
        <v>1627</v>
      </c>
    </row>
    <row r="210" spans="1:6" ht="17.45" customHeight="1" x14ac:dyDescent="0.2">
      <c r="A210" s="56" t="s">
        <v>1628</v>
      </c>
      <c r="B210" s="112" t="s">
        <v>1629</v>
      </c>
      <c r="C210" s="54">
        <v>8279</v>
      </c>
      <c r="D210" s="55" t="s">
        <v>1630</v>
      </c>
      <c r="E210" s="57" t="s">
        <v>1305</v>
      </c>
      <c r="F210" s="58" t="s">
        <v>1631</v>
      </c>
    </row>
    <row r="211" spans="1:6" ht="17.45" customHeight="1" x14ac:dyDescent="0.2">
      <c r="A211" s="53" t="s">
        <v>1632</v>
      </c>
      <c r="B211" s="112" t="s">
        <v>1633</v>
      </c>
      <c r="C211" s="58">
        <v>8272</v>
      </c>
      <c r="D211" s="61" t="s">
        <v>1345</v>
      </c>
      <c r="E211" s="57" t="s">
        <v>258</v>
      </c>
      <c r="F211" s="53" t="s">
        <v>1634</v>
      </c>
    </row>
    <row r="212" spans="1:6" ht="17.45" customHeight="1" x14ac:dyDescent="0.2">
      <c r="A212" s="64" t="s">
        <v>1635</v>
      </c>
      <c r="B212" s="112">
        <v>198608</v>
      </c>
      <c r="C212" s="62" t="s">
        <v>1262</v>
      </c>
      <c r="D212" s="64" t="s">
        <v>1263</v>
      </c>
      <c r="E212" s="57" t="s">
        <v>1118</v>
      </c>
      <c r="F212" s="65" t="s">
        <v>1636</v>
      </c>
    </row>
    <row r="213" spans="1:6" ht="17.45" customHeight="1" x14ac:dyDescent="0.2">
      <c r="A213" s="64" t="s">
        <v>1637</v>
      </c>
      <c r="B213" s="112">
        <v>218601</v>
      </c>
      <c r="C213" s="62" t="s">
        <v>1227</v>
      </c>
      <c r="D213" s="64" t="s">
        <v>1638</v>
      </c>
      <c r="E213" s="57" t="s">
        <v>1305</v>
      </c>
      <c r="F213" s="65" t="s">
        <v>1519</v>
      </c>
    </row>
    <row r="214" spans="1:6" ht="17.45" customHeight="1" x14ac:dyDescent="0.2">
      <c r="A214" s="56" t="s">
        <v>1639</v>
      </c>
      <c r="B214" s="112" t="s">
        <v>1640</v>
      </c>
      <c r="C214" s="54">
        <v>8266</v>
      </c>
      <c r="D214" s="55" t="s">
        <v>1127</v>
      </c>
      <c r="E214" s="57" t="s">
        <v>1170</v>
      </c>
      <c r="F214" s="56" t="s">
        <v>1434</v>
      </c>
    </row>
    <row r="215" spans="1:6" s="59" customFormat="1" ht="17.45" customHeight="1" x14ac:dyDescent="0.2">
      <c r="A215" s="56" t="s">
        <v>1641</v>
      </c>
      <c r="B215" s="112" t="s">
        <v>1642</v>
      </c>
      <c r="C215" s="54">
        <v>8272</v>
      </c>
      <c r="D215" s="55" t="s">
        <v>1341</v>
      </c>
      <c r="E215" s="57" t="s">
        <v>258</v>
      </c>
      <c r="F215" s="54" t="s">
        <v>1225</v>
      </c>
    </row>
    <row r="216" spans="1:6" s="59" customFormat="1" ht="17.45" customHeight="1" x14ac:dyDescent="0.2">
      <c r="A216" s="56" t="s">
        <v>1643</v>
      </c>
      <c r="B216" s="112" t="s">
        <v>1644</v>
      </c>
      <c r="C216" s="54">
        <v>8272</v>
      </c>
      <c r="D216" s="55" t="s">
        <v>1645</v>
      </c>
      <c r="E216" s="57" t="s">
        <v>1170</v>
      </c>
      <c r="F216" s="58" t="s">
        <v>1536</v>
      </c>
    </row>
    <row r="217" spans="1:6" s="59" customFormat="1" ht="17.45" customHeight="1" x14ac:dyDescent="0.2">
      <c r="A217" s="56" t="s">
        <v>197</v>
      </c>
      <c r="B217" s="112" t="s">
        <v>1646</v>
      </c>
      <c r="C217" s="54">
        <v>9514</v>
      </c>
      <c r="D217" s="55" t="s">
        <v>1577</v>
      </c>
      <c r="E217" s="57" t="s">
        <v>258</v>
      </c>
      <c r="F217" s="54" t="s">
        <v>1647</v>
      </c>
    </row>
    <row r="218" spans="1:6" s="59" customFormat="1" ht="17.45" customHeight="1" x14ac:dyDescent="0.2">
      <c r="A218" s="58" t="s">
        <v>1648</v>
      </c>
      <c r="B218" s="112" t="s">
        <v>1649</v>
      </c>
      <c r="C218" s="54">
        <v>9514</v>
      </c>
      <c r="D218" s="60" t="s">
        <v>1577</v>
      </c>
      <c r="E218" s="57" t="s">
        <v>258</v>
      </c>
      <c r="F218" s="58" t="s">
        <v>1650</v>
      </c>
    </row>
    <row r="219" spans="1:6" s="59" customFormat="1" ht="17.45" customHeight="1" x14ac:dyDescent="0.2">
      <c r="A219" s="58" t="s">
        <v>1651</v>
      </c>
      <c r="B219" s="112" t="s">
        <v>1652</v>
      </c>
      <c r="C219" s="54">
        <v>9514</v>
      </c>
      <c r="D219" s="60" t="s">
        <v>1571</v>
      </c>
      <c r="E219" s="57" t="s">
        <v>258</v>
      </c>
      <c r="F219" s="58" t="s">
        <v>1650</v>
      </c>
    </row>
    <row r="220" spans="1:6" s="59" customFormat="1" ht="17.45" customHeight="1" x14ac:dyDescent="0.2">
      <c r="A220" s="58" t="s">
        <v>1653</v>
      </c>
      <c r="B220" s="112">
        <v>228609</v>
      </c>
      <c r="C220" s="54">
        <v>9514</v>
      </c>
      <c r="D220" s="60" t="s">
        <v>1571</v>
      </c>
      <c r="E220" s="57" t="s">
        <v>258</v>
      </c>
      <c r="F220" s="58" t="s">
        <v>1650</v>
      </c>
    </row>
    <row r="221" spans="1:6" s="59" customFormat="1" ht="17.45" customHeight="1" x14ac:dyDescent="0.2">
      <c r="A221" s="58" t="s">
        <v>1654</v>
      </c>
      <c r="B221" s="112" t="s">
        <v>1655</v>
      </c>
      <c r="C221" s="54">
        <v>9514</v>
      </c>
      <c r="D221" s="60" t="s">
        <v>1577</v>
      </c>
      <c r="E221" s="57" t="s">
        <v>258</v>
      </c>
      <c r="F221" s="58" t="s">
        <v>1656</v>
      </c>
    </row>
    <row r="222" spans="1:6" s="59" customFormat="1" ht="17.45" customHeight="1" x14ac:dyDescent="0.2">
      <c r="A222" s="56" t="s">
        <v>1657</v>
      </c>
      <c r="B222" s="112">
        <v>218202</v>
      </c>
      <c r="C222" s="54">
        <v>9514</v>
      </c>
      <c r="D222" s="55" t="s">
        <v>1571</v>
      </c>
      <c r="E222" s="57" t="s">
        <v>1096</v>
      </c>
      <c r="F222" s="58" t="s">
        <v>1658</v>
      </c>
    </row>
    <row r="223" spans="1:6" s="59" customFormat="1" ht="17.45" customHeight="1" x14ac:dyDescent="0.2">
      <c r="A223" s="56" t="s">
        <v>1659</v>
      </c>
      <c r="B223" s="112">
        <v>218203</v>
      </c>
      <c r="C223" s="54">
        <v>9514</v>
      </c>
      <c r="D223" s="55" t="s">
        <v>1571</v>
      </c>
      <c r="E223" s="57" t="s">
        <v>1100</v>
      </c>
      <c r="F223" s="58" t="s">
        <v>1658</v>
      </c>
    </row>
    <row r="224" spans="1:6" s="59" customFormat="1" ht="17.45" customHeight="1" x14ac:dyDescent="0.2">
      <c r="A224" s="58" t="s">
        <v>1660</v>
      </c>
      <c r="B224" s="112">
        <v>138622</v>
      </c>
      <c r="C224" s="54">
        <v>9514</v>
      </c>
      <c r="D224" s="60" t="s">
        <v>1577</v>
      </c>
      <c r="E224" s="57" t="s">
        <v>1096</v>
      </c>
      <c r="F224" s="58" t="s">
        <v>1661</v>
      </c>
    </row>
    <row r="225" spans="1:6" s="59" customFormat="1" ht="17.45" customHeight="1" x14ac:dyDescent="0.2">
      <c r="A225" s="56" t="s">
        <v>1662</v>
      </c>
      <c r="B225" s="112" t="s">
        <v>1663</v>
      </c>
      <c r="C225" s="54">
        <v>9514</v>
      </c>
      <c r="D225" s="55" t="s">
        <v>1580</v>
      </c>
      <c r="E225" s="57" t="s">
        <v>1118</v>
      </c>
      <c r="F225" s="58" t="s">
        <v>1402</v>
      </c>
    </row>
    <row r="226" spans="1:6" s="59" customFormat="1" ht="17.45" customHeight="1" x14ac:dyDescent="0.2">
      <c r="A226" s="56" t="s">
        <v>1664</v>
      </c>
      <c r="B226" s="112" t="s">
        <v>1665</v>
      </c>
      <c r="C226" s="54">
        <v>9514</v>
      </c>
      <c r="D226" s="55" t="s">
        <v>1666</v>
      </c>
      <c r="E226" s="57" t="s">
        <v>1123</v>
      </c>
      <c r="F226" s="58" t="s">
        <v>1408</v>
      </c>
    </row>
    <row r="227" spans="1:6" s="59" customFormat="1" ht="17.45" customHeight="1" x14ac:dyDescent="0.2">
      <c r="A227" s="56" t="s">
        <v>1667</v>
      </c>
      <c r="B227" s="112" t="s">
        <v>1668</v>
      </c>
      <c r="C227" s="54">
        <v>9514</v>
      </c>
      <c r="D227" s="55" t="s">
        <v>1580</v>
      </c>
      <c r="E227" s="57" t="s">
        <v>1118</v>
      </c>
      <c r="F227" s="58" t="s">
        <v>1647</v>
      </c>
    </row>
    <row r="228" spans="1:6" s="59" customFormat="1" ht="17.45" customHeight="1" x14ac:dyDescent="0.2">
      <c r="A228" s="56" t="s">
        <v>1669</v>
      </c>
      <c r="B228" s="112" t="s">
        <v>1670</v>
      </c>
      <c r="C228" s="54">
        <v>9514</v>
      </c>
      <c r="D228" s="55" t="s">
        <v>1571</v>
      </c>
      <c r="E228" s="57" t="s">
        <v>1123</v>
      </c>
      <c r="F228" s="58" t="s">
        <v>1128</v>
      </c>
    </row>
    <row r="229" spans="1:6" s="59" customFormat="1" ht="17.45" customHeight="1" x14ac:dyDescent="0.2">
      <c r="A229" s="56" t="s">
        <v>1671</v>
      </c>
      <c r="B229" s="112" t="s">
        <v>1672</v>
      </c>
      <c r="C229" s="54">
        <v>9514</v>
      </c>
      <c r="D229" s="55" t="s">
        <v>1580</v>
      </c>
      <c r="E229" s="57" t="s">
        <v>1123</v>
      </c>
      <c r="F229" s="58" t="s">
        <v>1399</v>
      </c>
    </row>
    <row r="230" spans="1:6" s="59" customFormat="1" ht="17.45" customHeight="1" x14ac:dyDescent="0.2">
      <c r="A230" s="56" t="s">
        <v>1673</v>
      </c>
      <c r="B230" s="112" t="s">
        <v>1674</v>
      </c>
      <c r="C230" s="54">
        <v>9514</v>
      </c>
      <c r="D230" s="55" t="s">
        <v>1580</v>
      </c>
      <c r="E230" s="57" t="s">
        <v>1123</v>
      </c>
      <c r="F230" s="58" t="s">
        <v>1399</v>
      </c>
    </row>
    <row r="231" spans="1:6" s="59" customFormat="1" ht="17.45" customHeight="1" x14ac:dyDescent="0.2">
      <c r="A231" s="56" t="s">
        <v>1675</v>
      </c>
      <c r="B231" s="112" t="s">
        <v>1676</v>
      </c>
      <c r="C231" s="54">
        <v>9514</v>
      </c>
      <c r="D231" s="55" t="s">
        <v>1571</v>
      </c>
      <c r="E231" s="57" t="s">
        <v>1123</v>
      </c>
      <c r="F231" s="58" t="s">
        <v>1399</v>
      </c>
    </row>
    <row r="232" spans="1:6" s="59" customFormat="1" ht="17.45" customHeight="1" x14ac:dyDescent="0.2">
      <c r="A232" s="56" t="s">
        <v>1677</v>
      </c>
      <c r="B232" s="112">
        <v>188605</v>
      </c>
      <c r="C232" s="54" t="s">
        <v>1678</v>
      </c>
      <c r="D232" s="55" t="s">
        <v>1571</v>
      </c>
      <c r="E232" s="57" t="s">
        <v>1118</v>
      </c>
      <c r="F232" s="58" t="s">
        <v>1231</v>
      </c>
    </row>
    <row r="233" spans="1:6" s="59" customFormat="1" ht="17.45" customHeight="1" x14ac:dyDescent="0.2">
      <c r="A233" s="53" t="s">
        <v>1679</v>
      </c>
      <c r="B233" s="112" t="s">
        <v>1680</v>
      </c>
      <c r="C233" s="58">
        <v>9514</v>
      </c>
      <c r="D233" s="61" t="s">
        <v>1577</v>
      </c>
      <c r="E233" s="57" t="s">
        <v>1096</v>
      </c>
      <c r="F233" s="65" t="s">
        <v>1681</v>
      </c>
    </row>
    <row r="234" spans="1:6" s="59" customFormat="1" ht="17.45" customHeight="1" x14ac:dyDescent="0.2">
      <c r="A234" s="56" t="s">
        <v>1682</v>
      </c>
      <c r="B234" s="112" t="s">
        <v>1683</v>
      </c>
      <c r="C234" s="54">
        <v>9514</v>
      </c>
      <c r="D234" s="55" t="s">
        <v>1580</v>
      </c>
      <c r="E234" s="57" t="s">
        <v>1118</v>
      </c>
      <c r="F234" s="58" t="s">
        <v>1128</v>
      </c>
    </row>
    <row r="235" spans="1:6" s="59" customFormat="1" ht="17.45" customHeight="1" x14ac:dyDescent="0.2">
      <c r="A235" s="56" t="s">
        <v>1684</v>
      </c>
      <c r="B235" s="112">
        <v>178660</v>
      </c>
      <c r="C235" s="54">
        <v>9514</v>
      </c>
      <c r="D235" s="55" t="s">
        <v>1580</v>
      </c>
      <c r="E235" s="57" t="s">
        <v>1123</v>
      </c>
      <c r="F235" s="58" t="s">
        <v>1391</v>
      </c>
    </row>
    <row r="236" spans="1:6" s="59" customFormat="1" ht="17.45" customHeight="1" x14ac:dyDescent="0.2">
      <c r="A236" s="56" t="s">
        <v>1685</v>
      </c>
      <c r="B236" s="112" t="s">
        <v>1686</v>
      </c>
      <c r="C236" s="54">
        <v>9514</v>
      </c>
      <c r="D236" s="55" t="s">
        <v>1687</v>
      </c>
      <c r="E236" s="57" t="s">
        <v>1123</v>
      </c>
      <c r="F236" s="58" t="s">
        <v>1688</v>
      </c>
    </row>
    <row r="237" spans="1:6" s="59" customFormat="1" ht="17.45" customHeight="1" x14ac:dyDescent="0.2">
      <c r="A237" s="56" t="s">
        <v>1689</v>
      </c>
      <c r="B237" s="112" t="s">
        <v>1690</v>
      </c>
      <c r="C237" s="54">
        <v>9514</v>
      </c>
      <c r="D237" s="55" t="s">
        <v>1577</v>
      </c>
      <c r="E237" s="57" t="s">
        <v>1118</v>
      </c>
      <c r="F237" s="58" t="s">
        <v>1691</v>
      </c>
    </row>
    <row r="238" spans="1:6" ht="17.45" customHeight="1" x14ac:dyDescent="0.2">
      <c r="A238" s="56" t="s">
        <v>1692</v>
      </c>
      <c r="B238" s="112" t="s">
        <v>1693</v>
      </c>
      <c r="C238" s="54">
        <v>9514</v>
      </c>
      <c r="D238" s="55" t="s">
        <v>1571</v>
      </c>
      <c r="E238" s="57" t="s">
        <v>1123</v>
      </c>
      <c r="F238" s="58" t="s">
        <v>1694</v>
      </c>
    </row>
    <row r="239" spans="1:6" ht="17.45" customHeight="1" x14ac:dyDescent="0.2">
      <c r="A239" s="56" t="s">
        <v>1695</v>
      </c>
      <c r="B239" s="112" t="s">
        <v>1696</v>
      </c>
      <c r="C239" s="54">
        <v>9514</v>
      </c>
      <c r="D239" s="55" t="s">
        <v>1577</v>
      </c>
      <c r="E239" s="57" t="s">
        <v>1118</v>
      </c>
      <c r="F239" s="58" t="s">
        <v>1697</v>
      </c>
    </row>
    <row r="240" spans="1:6" ht="17.45" customHeight="1" x14ac:dyDescent="0.2">
      <c r="A240" s="56" t="s">
        <v>1698</v>
      </c>
      <c r="B240" s="112" t="s">
        <v>1699</v>
      </c>
      <c r="C240" s="54">
        <v>9514</v>
      </c>
      <c r="D240" s="55" t="s">
        <v>1580</v>
      </c>
      <c r="E240" s="57" t="s">
        <v>1123</v>
      </c>
      <c r="F240" s="58" t="s">
        <v>1434</v>
      </c>
    </row>
    <row r="241" spans="1:6" ht="17.45" customHeight="1" x14ac:dyDescent="0.2">
      <c r="A241" s="56" t="s">
        <v>1700</v>
      </c>
      <c r="B241" s="112" t="s">
        <v>1701</v>
      </c>
      <c r="C241" s="54">
        <v>9514</v>
      </c>
      <c r="D241" s="55" t="s">
        <v>1666</v>
      </c>
      <c r="E241" s="57" t="s">
        <v>1118</v>
      </c>
      <c r="F241" s="58" t="s">
        <v>1399</v>
      </c>
    </row>
    <row r="242" spans="1:6" ht="17.45" customHeight="1" x14ac:dyDescent="0.2">
      <c r="A242" s="56" t="s">
        <v>1702</v>
      </c>
      <c r="B242" s="112">
        <v>158665</v>
      </c>
      <c r="C242" s="54" t="s">
        <v>1678</v>
      </c>
      <c r="D242" s="55" t="s">
        <v>1666</v>
      </c>
      <c r="E242" s="57" t="s">
        <v>1197</v>
      </c>
      <c r="F242" s="65" t="s">
        <v>1563</v>
      </c>
    </row>
    <row r="243" spans="1:6" ht="17.45" customHeight="1" x14ac:dyDescent="0.2">
      <c r="A243" s="56" t="s">
        <v>200</v>
      </c>
      <c r="B243" s="112" t="s">
        <v>1703</v>
      </c>
      <c r="C243" s="54">
        <v>9514</v>
      </c>
      <c r="D243" s="55" t="s">
        <v>1571</v>
      </c>
      <c r="E243" s="57" t="s">
        <v>1118</v>
      </c>
      <c r="F243" s="58" t="s">
        <v>1342</v>
      </c>
    </row>
    <row r="244" spans="1:6" ht="17.45" customHeight="1" x14ac:dyDescent="0.2">
      <c r="A244" s="53" t="s">
        <v>1704</v>
      </c>
      <c r="B244" s="112" t="s">
        <v>1705</v>
      </c>
      <c r="C244" s="58">
        <v>9514</v>
      </c>
      <c r="D244" s="61" t="s">
        <v>1571</v>
      </c>
      <c r="E244" s="57" t="s">
        <v>1096</v>
      </c>
      <c r="F244" s="65" t="s">
        <v>1706</v>
      </c>
    </row>
    <row r="245" spans="1:6" ht="21.75" customHeight="1" x14ac:dyDescent="0.2">
      <c r="A245" s="56" t="s">
        <v>1707</v>
      </c>
      <c r="B245" s="112" t="s">
        <v>1708</v>
      </c>
      <c r="C245" s="54">
        <v>9514</v>
      </c>
      <c r="D245" s="55" t="s">
        <v>1571</v>
      </c>
      <c r="E245" s="57" t="s">
        <v>1100</v>
      </c>
      <c r="F245" s="58" t="s">
        <v>1488</v>
      </c>
    </row>
    <row r="246" spans="1:6" x14ac:dyDescent="0.2">
      <c r="A246" s="58" t="s">
        <v>1709</v>
      </c>
      <c r="B246" s="112" t="s">
        <v>1710</v>
      </c>
      <c r="C246" s="54">
        <v>9514</v>
      </c>
      <c r="D246" s="60" t="s">
        <v>1571</v>
      </c>
      <c r="E246" s="57" t="s">
        <v>1305</v>
      </c>
      <c r="F246" s="58" t="s">
        <v>1711</v>
      </c>
    </row>
    <row r="247" spans="1:6" x14ac:dyDescent="0.2">
      <c r="A247" s="56" t="s">
        <v>1712</v>
      </c>
      <c r="B247" s="112" t="s">
        <v>1713</v>
      </c>
      <c r="C247" s="58">
        <v>9514</v>
      </c>
      <c r="D247" s="61" t="s">
        <v>1666</v>
      </c>
      <c r="E247" s="57" t="s">
        <v>1170</v>
      </c>
      <c r="F247" s="65" t="s">
        <v>1714</v>
      </c>
    </row>
    <row r="248" spans="1:6" x14ac:dyDescent="0.2">
      <c r="A248" s="56" t="s">
        <v>1715</v>
      </c>
      <c r="B248" s="112">
        <v>188601</v>
      </c>
      <c r="C248" s="54" t="s">
        <v>1150</v>
      </c>
      <c r="D248" s="55" t="s">
        <v>1151</v>
      </c>
      <c r="E248" s="57" t="s">
        <v>258</v>
      </c>
      <c r="F248" s="58" t="s">
        <v>1152</v>
      </c>
    </row>
    <row r="249" spans="1:6" x14ac:dyDescent="0.2">
      <c r="A249" s="56" t="s">
        <v>1716</v>
      </c>
      <c r="B249" s="112">
        <v>188604</v>
      </c>
      <c r="C249" s="54" t="s">
        <v>1150</v>
      </c>
      <c r="D249" s="55" t="s">
        <v>1151</v>
      </c>
      <c r="E249" s="57" t="s">
        <v>1123</v>
      </c>
      <c r="F249" s="58" t="s">
        <v>1717</v>
      </c>
    </row>
    <row r="250" spans="1:6" x14ac:dyDescent="0.2">
      <c r="A250" s="56" t="s">
        <v>1718</v>
      </c>
      <c r="B250" s="112" t="s">
        <v>1719</v>
      </c>
      <c r="C250" s="54">
        <v>8272</v>
      </c>
      <c r="D250" s="55" t="s">
        <v>1355</v>
      </c>
      <c r="E250" s="57" t="s">
        <v>1118</v>
      </c>
      <c r="F250" s="58" t="s">
        <v>1388</v>
      </c>
    </row>
    <row r="251" spans="1:6" ht="17.25" customHeight="1" x14ac:dyDescent="0.2">
      <c r="A251" s="56" t="s">
        <v>1720</v>
      </c>
      <c r="B251" s="112" t="s">
        <v>1721</v>
      </c>
      <c r="C251" s="54">
        <v>8272</v>
      </c>
      <c r="D251" s="55" t="s">
        <v>1722</v>
      </c>
      <c r="E251" s="57" t="s">
        <v>1123</v>
      </c>
      <c r="F251" s="58" t="s">
        <v>1694</v>
      </c>
    </row>
    <row r="252" spans="1:6" ht="17.25" customHeight="1" x14ac:dyDescent="0.2">
      <c r="A252" s="56" t="s">
        <v>1723</v>
      </c>
      <c r="B252" s="112" t="s">
        <v>1724</v>
      </c>
      <c r="C252" s="54">
        <v>8272</v>
      </c>
      <c r="D252" s="55" t="s">
        <v>1345</v>
      </c>
      <c r="E252" s="57" t="s">
        <v>1118</v>
      </c>
      <c r="F252" s="58" t="s">
        <v>1725</v>
      </c>
    </row>
    <row r="253" spans="1:6" ht="17.45" customHeight="1" x14ac:dyDescent="0.2">
      <c r="A253" s="56" t="s">
        <v>1726</v>
      </c>
      <c r="B253" s="112" t="s">
        <v>1727</v>
      </c>
      <c r="C253" s="54">
        <v>8272</v>
      </c>
      <c r="D253" s="55" t="s">
        <v>1345</v>
      </c>
      <c r="E253" s="57" t="s">
        <v>1123</v>
      </c>
      <c r="F253" s="56" t="s">
        <v>1728</v>
      </c>
    </row>
    <row r="254" spans="1:6" ht="17.45" customHeight="1" x14ac:dyDescent="0.2">
      <c r="A254" s="56" t="s">
        <v>1729</v>
      </c>
      <c r="B254" s="112">
        <v>218605</v>
      </c>
      <c r="C254" s="54" t="s">
        <v>1252</v>
      </c>
      <c r="D254" s="55" t="s">
        <v>1253</v>
      </c>
      <c r="E254" s="57" t="s">
        <v>1123</v>
      </c>
      <c r="F254" s="56" t="s">
        <v>1730</v>
      </c>
    </row>
    <row r="255" spans="1:6" x14ac:dyDescent="0.2">
      <c r="A255" s="56" t="s">
        <v>1731</v>
      </c>
      <c r="B255" s="112" t="s">
        <v>1732</v>
      </c>
      <c r="C255" s="54">
        <v>8266</v>
      </c>
      <c r="D255" s="55" t="s">
        <v>1154</v>
      </c>
      <c r="E255" s="57" t="s">
        <v>258</v>
      </c>
      <c r="F255" s="53" t="s">
        <v>1733</v>
      </c>
    </row>
    <row r="256" spans="1:6" x14ac:dyDescent="0.2">
      <c r="A256" s="56" t="s">
        <v>1734</v>
      </c>
      <c r="B256" s="112" t="s">
        <v>1735</v>
      </c>
      <c r="C256" s="54">
        <v>8279</v>
      </c>
      <c r="D256" s="55" t="s">
        <v>1220</v>
      </c>
      <c r="E256" s="57" t="s">
        <v>1123</v>
      </c>
      <c r="F256" s="58" t="s">
        <v>1434</v>
      </c>
    </row>
    <row r="257" spans="1:6" x14ac:dyDescent="0.2">
      <c r="A257" s="56" t="s">
        <v>1736</v>
      </c>
      <c r="B257" s="112" t="s">
        <v>1737</v>
      </c>
      <c r="C257" s="54">
        <v>8279</v>
      </c>
      <c r="D257" s="55" t="s">
        <v>1220</v>
      </c>
      <c r="E257" s="57" t="s">
        <v>1123</v>
      </c>
      <c r="F257" s="58" t="s">
        <v>1738</v>
      </c>
    </row>
    <row r="258" spans="1:6" x14ac:dyDescent="0.2">
      <c r="A258" s="56" t="s">
        <v>1739</v>
      </c>
      <c r="B258" s="112" t="s">
        <v>1740</v>
      </c>
      <c r="C258" s="54">
        <v>8279</v>
      </c>
      <c r="D258" s="55" t="s">
        <v>1220</v>
      </c>
      <c r="E258" s="57" t="s">
        <v>1123</v>
      </c>
      <c r="F258" s="58" t="s">
        <v>1148</v>
      </c>
    </row>
    <row r="259" spans="1:6" x14ac:dyDescent="0.2">
      <c r="A259" s="56" t="s">
        <v>1741</v>
      </c>
      <c r="B259" s="112" t="s">
        <v>1742</v>
      </c>
      <c r="C259" s="54">
        <v>8266</v>
      </c>
      <c r="D259" s="55" t="s">
        <v>1127</v>
      </c>
      <c r="E259" s="57" t="s">
        <v>1118</v>
      </c>
      <c r="F259" s="58" t="s">
        <v>1586</v>
      </c>
    </row>
    <row r="260" spans="1:6" x14ac:dyDescent="0.2">
      <c r="A260" s="56" t="s">
        <v>1743</v>
      </c>
      <c r="B260" s="112" t="s">
        <v>1744</v>
      </c>
      <c r="C260" s="54">
        <v>8266</v>
      </c>
      <c r="D260" s="55" t="s">
        <v>1154</v>
      </c>
      <c r="E260" s="57" t="s">
        <v>1170</v>
      </c>
      <c r="F260" s="58" t="s">
        <v>1325</v>
      </c>
    </row>
    <row r="261" spans="1:6" x14ac:dyDescent="0.2">
      <c r="A261" s="56" t="s">
        <v>1745</v>
      </c>
      <c r="B261" s="112" t="s">
        <v>1746</v>
      </c>
      <c r="C261" s="54">
        <v>8266</v>
      </c>
      <c r="D261" s="55" t="s">
        <v>1154</v>
      </c>
      <c r="E261" s="57" t="s">
        <v>1118</v>
      </c>
      <c r="F261" s="58" t="s">
        <v>1396</v>
      </c>
    </row>
    <row r="262" spans="1:6" x14ac:dyDescent="0.2">
      <c r="A262" s="56" t="s">
        <v>1747</v>
      </c>
      <c r="B262" s="112" t="s">
        <v>1748</v>
      </c>
      <c r="C262" s="54">
        <v>8266</v>
      </c>
      <c r="D262" s="55" t="s">
        <v>1131</v>
      </c>
      <c r="E262" s="57" t="s">
        <v>1170</v>
      </c>
      <c r="F262" s="58" t="s">
        <v>1346</v>
      </c>
    </row>
    <row r="263" spans="1:6" x14ac:dyDescent="0.2">
      <c r="A263" s="56" t="s">
        <v>1749</v>
      </c>
      <c r="B263" s="112" t="s">
        <v>1750</v>
      </c>
      <c r="C263" s="54">
        <v>8266</v>
      </c>
      <c r="D263" s="55" t="s">
        <v>1127</v>
      </c>
      <c r="E263" s="57" t="s">
        <v>1118</v>
      </c>
      <c r="F263" s="58" t="s">
        <v>1312</v>
      </c>
    </row>
    <row r="264" spans="1:6" x14ac:dyDescent="0.2">
      <c r="A264" s="56" t="s">
        <v>1751</v>
      </c>
      <c r="B264" s="112" t="s">
        <v>1752</v>
      </c>
      <c r="C264" s="54">
        <v>8266</v>
      </c>
      <c r="D264" s="55" t="s">
        <v>1131</v>
      </c>
      <c r="E264" s="57" t="s">
        <v>1170</v>
      </c>
      <c r="F264" s="58" t="s">
        <v>1753</v>
      </c>
    </row>
    <row r="265" spans="1:6" x14ac:dyDescent="0.2">
      <c r="A265" s="58" t="s">
        <v>1754</v>
      </c>
      <c r="B265" s="112" t="s">
        <v>1755</v>
      </c>
      <c r="C265" s="54">
        <v>8266</v>
      </c>
      <c r="D265" s="60" t="s">
        <v>1117</v>
      </c>
      <c r="E265" s="57" t="s">
        <v>1305</v>
      </c>
      <c r="F265" s="58" t="s">
        <v>1711</v>
      </c>
    </row>
    <row r="266" spans="1:6" x14ac:dyDescent="0.2">
      <c r="A266" s="56" t="s">
        <v>1756</v>
      </c>
      <c r="B266" s="112" t="s">
        <v>1757</v>
      </c>
      <c r="C266" s="54">
        <v>8266</v>
      </c>
      <c r="D266" s="55" t="s">
        <v>1122</v>
      </c>
      <c r="E266" s="57" t="s">
        <v>1170</v>
      </c>
      <c r="F266" s="58" t="s">
        <v>1231</v>
      </c>
    </row>
    <row r="267" spans="1:6" x14ac:dyDescent="0.2">
      <c r="A267" s="56"/>
      <c r="C267" s="54"/>
      <c r="D267" s="55"/>
      <c r="F267" s="58"/>
    </row>
    <row r="268" spans="1:6" x14ac:dyDescent="0.2">
      <c r="A268" s="137" t="s">
        <v>1853</v>
      </c>
      <c r="C268" s="54"/>
      <c r="D268" s="55"/>
      <c r="F268" s="58"/>
    </row>
    <row r="269" spans="1:6" x14ac:dyDescent="0.2">
      <c r="A269" s="56" t="s">
        <v>1866</v>
      </c>
      <c r="B269" s="112" t="s">
        <v>1860</v>
      </c>
      <c r="C269" s="54" t="s">
        <v>1227</v>
      </c>
      <c r="D269" s="55" t="s">
        <v>1122</v>
      </c>
      <c r="F269" s="58"/>
    </row>
    <row r="270" spans="1:6" x14ac:dyDescent="0.2">
      <c r="A270" s="56" t="s">
        <v>1854</v>
      </c>
      <c r="B270" s="112" t="s">
        <v>1860</v>
      </c>
      <c r="C270" s="54" t="s">
        <v>1784</v>
      </c>
      <c r="D270" s="55" t="s">
        <v>1280</v>
      </c>
      <c r="F270" s="58"/>
    </row>
    <row r="271" spans="1:6" x14ac:dyDescent="0.2">
      <c r="A271" s="56" t="s">
        <v>1855</v>
      </c>
      <c r="B271" s="112" t="s">
        <v>1860</v>
      </c>
      <c r="C271" s="54" t="s">
        <v>1863</v>
      </c>
      <c r="D271" s="55" t="s">
        <v>1151</v>
      </c>
      <c r="F271" s="58"/>
    </row>
    <row r="272" spans="1:6" x14ac:dyDescent="0.2">
      <c r="A272" s="56" t="s">
        <v>1856</v>
      </c>
      <c r="B272" s="112" t="s">
        <v>1860</v>
      </c>
      <c r="C272" s="54" t="s">
        <v>1780</v>
      </c>
      <c r="D272" s="55" t="s">
        <v>1864</v>
      </c>
      <c r="F272" s="58"/>
    </row>
    <row r="273" spans="1:6" x14ac:dyDescent="0.2">
      <c r="A273" s="56" t="s">
        <v>1857</v>
      </c>
      <c r="B273" s="112" t="s">
        <v>1860</v>
      </c>
      <c r="C273" s="54" t="s">
        <v>1780</v>
      </c>
      <c r="D273" s="55" t="s">
        <v>1864</v>
      </c>
      <c r="F273" s="58"/>
    </row>
    <row r="274" spans="1:6" x14ac:dyDescent="0.2">
      <c r="A274" s="56" t="s">
        <v>1858</v>
      </c>
      <c r="B274" s="112" t="s">
        <v>1860</v>
      </c>
      <c r="C274" s="54" t="s">
        <v>1678</v>
      </c>
      <c r="D274" s="55" t="s">
        <v>1687</v>
      </c>
      <c r="F274" s="58"/>
    </row>
    <row r="275" spans="1:6" x14ac:dyDescent="0.2">
      <c r="A275" s="56" t="s">
        <v>1859</v>
      </c>
      <c r="B275" s="112" t="s">
        <v>1860</v>
      </c>
      <c r="C275" s="54" t="s">
        <v>1862</v>
      </c>
      <c r="D275" s="55" t="s">
        <v>1861</v>
      </c>
      <c r="F275" s="58"/>
    </row>
    <row r="276" spans="1:6" x14ac:dyDescent="0.2">
      <c r="A276" s="56"/>
      <c r="C276" s="54"/>
      <c r="D276" s="55"/>
      <c r="F276" s="58"/>
    </row>
    <row r="277" spans="1:6" x14ac:dyDescent="0.2">
      <c r="A277" s="137" t="s">
        <v>1758</v>
      </c>
      <c r="C277" s="54"/>
      <c r="D277" s="55"/>
      <c r="F277" s="58"/>
    </row>
    <row r="278" spans="1:6" x14ac:dyDescent="0.2">
      <c r="A278" s="56" t="s">
        <v>1759</v>
      </c>
      <c r="B278" s="112">
        <v>28621</v>
      </c>
      <c r="C278" s="54" t="s">
        <v>1760</v>
      </c>
      <c r="D278" s="55" t="s">
        <v>1761</v>
      </c>
      <c r="E278" s="57" t="s">
        <v>1762</v>
      </c>
      <c r="F278" s="58"/>
    </row>
    <row r="279" spans="1:6" x14ac:dyDescent="0.2">
      <c r="A279" s="56" t="s">
        <v>1763</v>
      </c>
      <c r="B279" s="112">
        <v>28620</v>
      </c>
      <c r="C279" s="54" t="s">
        <v>1764</v>
      </c>
      <c r="D279" s="55" t="s">
        <v>1765</v>
      </c>
      <c r="E279" s="57" t="s">
        <v>1762</v>
      </c>
      <c r="F279" s="58"/>
    </row>
    <row r="280" spans="1:6" ht="12.75" x14ac:dyDescent="0.2">
      <c r="A280" s="50"/>
      <c r="B280" s="50"/>
      <c r="C280" s="50"/>
      <c r="D280" s="50"/>
      <c r="E280" s="50"/>
      <c r="F280" s="50"/>
    </row>
    <row r="281" spans="1:6" ht="12.75" x14ac:dyDescent="0.2">
      <c r="A281" s="185" t="s">
        <v>1766</v>
      </c>
      <c r="B281" s="50"/>
      <c r="C281" s="50"/>
      <c r="D281" s="50"/>
      <c r="E281" s="50"/>
      <c r="F281" s="50"/>
    </row>
    <row r="282" spans="1:6" x14ac:dyDescent="0.2">
      <c r="A282" s="53" t="s">
        <v>1767</v>
      </c>
      <c r="B282" s="112">
        <v>188101</v>
      </c>
      <c r="C282" s="53" t="s">
        <v>1768</v>
      </c>
      <c r="D282" s="61" t="s">
        <v>1769</v>
      </c>
      <c r="E282" s="57" t="s">
        <v>1770</v>
      </c>
      <c r="F282" s="65" t="s">
        <v>1771</v>
      </c>
    </row>
    <row r="283" spans="1:6" x14ac:dyDescent="0.2">
      <c r="A283" s="53" t="s">
        <v>1772</v>
      </c>
      <c r="B283" s="112">
        <v>188100</v>
      </c>
      <c r="C283" s="53" t="s">
        <v>1768</v>
      </c>
      <c r="D283" s="61" t="s">
        <v>1769</v>
      </c>
      <c r="E283" s="57" t="s">
        <v>1770</v>
      </c>
      <c r="F283" s="65" t="s">
        <v>1773</v>
      </c>
    </row>
    <row r="284" spans="1:6" x14ac:dyDescent="0.2">
      <c r="A284" s="53" t="s">
        <v>1774</v>
      </c>
      <c r="B284" s="112">
        <v>188104</v>
      </c>
      <c r="C284" s="53" t="s">
        <v>1775</v>
      </c>
      <c r="D284" s="61" t="s">
        <v>1776</v>
      </c>
      <c r="E284" s="57" t="s">
        <v>1770</v>
      </c>
      <c r="F284" s="65" t="s">
        <v>1777</v>
      </c>
    </row>
    <row r="285" spans="1:6" x14ac:dyDescent="0.2">
      <c r="A285" s="53" t="s">
        <v>1778</v>
      </c>
      <c r="B285" s="112">
        <v>188105</v>
      </c>
      <c r="C285" s="53" t="s">
        <v>1227</v>
      </c>
      <c r="D285" s="61" t="s">
        <v>1867</v>
      </c>
      <c r="E285" s="57" t="s">
        <v>1770</v>
      </c>
      <c r="F285" s="65" t="s">
        <v>1773</v>
      </c>
    </row>
    <row r="286" spans="1:6" x14ac:dyDescent="0.2">
      <c r="A286" s="53" t="s">
        <v>1779</v>
      </c>
      <c r="B286" s="112">
        <v>188108</v>
      </c>
      <c r="C286" s="53" t="s">
        <v>1780</v>
      </c>
      <c r="D286" s="55" t="s">
        <v>1765</v>
      </c>
      <c r="E286" s="57" t="s">
        <v>1770</v>
      </c>
      <c r="F286" s="65" t="s">
        <v>1771</v>
      </c>
    </row>
    <row r="287" spans="1:6" x14ac:dyDescent="0.2">
      <c r="A287" s="53" t="s">
        <v>1781</v>
      </c>
      <c r="B287" s="112">
        <v>188102</v>
      </c>
      <c r="C287" s="53" t="s">
        <v>1780</v>
      </c>
      <c r="D287" s="55" t="s">
        <v>1765</v>
      </c>
      <c r="E287" s="57" t="s">
        <v>1770</v>
      </c>
      <c r="F287" s="65" t="s">
        <v>1773</v>
      </c>
    </row>
    <row r="288" spans="1:6" x14ac:dyDescent="0.2">
      <c r="A288" s="53" t="s">
        <v>1782</v>
      </c>
      <c r="B288" s="112">
        <v>208101</v>
      </c>
      <c r="C288" s="53" t="s">
        <v>1678</v>
      </c>
      <c r="D288" s="61" t="s">
        <v>1687</v>
      </c>
      <c r="E288" s="57" t="s">
        <v>1770</v>
      </c>
      <c r="F288" s="65" t="s">
        <v>1777</v>
      </c>
    </row>
    <row r="289" spans="1:11" x14ac:dyDescent="0.2">
      <c r="A289" s="53" t="s">
        <v>1783</v>
      </c>
      <c r="B289" s="112">
        <v>188103</v>
      </c>
      <c r="C289" s="53" t="s">
        <v>1784</v>
      </c>
      <c r="D289" s="61" t="s">
        <v>1095</v>
      </c>
      <c r="E289" s="57" t="s">
        <v>1770</v>
      </c>
      <c r="F289" s="65" t="s">
        <v>1771</v>
      </c>
    </row>
    <row r="290" spans="1:11" ht="12.75" x14ac:dyDescent="0.2">
      <c r="A290" s="50"/>
      <c r="B290"/>
      <c r="C290"/>
      <c r="D290"/>
      <c r="E290"/>
      <c r="F290" s="50"/>
    </row>
    <row r="291" spans="1:11" ht="12.75" x14ac:dyDescent="0.2">
      <c r="A291" s="50"/>
      <c r="B291"/>
      <c r="C291"/>
      <c r="D291"/>
      <c r="E291"/>
      <c r="F291" s="50"/>
      <c r="H291"/>
      <c r="I291"/>
      <c r="J291"/>
      <c r="K291"/>
    </row>
    <row r="292" spans="1:11" ht="13.5" x14ac:dyDescent="0.2">
      <c r="A292" s="50"/>
      <c r="B292" s="114"/>
      <c r="C292"/>
      <c r="D292"/>
      <c r="E292"/>
      <c r="F292" s="50"/>
      <c r="G292"/>
      <c r="H292"/>
      <c r="I292" s="114"/>
      <c r="J292"/>
      <c r="K292"/>
    </row>
    <row r="293" spans="1:11" ht="13.5" x14ac:dyDescent="0.2">
      <c r="A293" s="50"/>
      <c r="B293"/>
      <c r="C293"/>
      <c r="D293" s="115"/>
      <c r="E293" s="115"/>
      <c r="F293" s="50"/>
      <c r="G293"/>
      <c r="H293"/>
      <c r="I293" s="114"/>
      <c r="J293"/>
      <c r="K293"/>
    </row>
    <row r="294" spans="1:11" ht="13.5" x14ac:dyDescent="0.2">
      <c r="A294" s="50"/>
      <c r="B294" s="114"/>
      <c r="C294" s="114"/>
      <c r="D294"/>
      <c r="E294"/>
      <c r="F294" s="50"/>
      <c r="G294" s="114"/>
      <c r="H294"/>
      <c r="I294"/>
      <c r="J294"/>
      <c r="K294"/>
    </row>
    <row r="295" spans="1:11" ht="13.5" x14ac:dyDescent="0.2">
      <c r="A295" s="50"/>
      <c r="B295" s="114"/>
      <c r="C295"/>
      <c r="D295"/>
      <c r="E295"/>
      <c r="F295" s="50"/>
      <c r="G295" s="114"/>
      <c r="H295"/>
      <c r="I295"/>
      <c r="J295"/>
      <c r="K295"/>
    </row>
    <row r="296" spans="1:11" ht="13.5" x14ac:dyDescent="0.2">
      <c r="A296" s="50"/>
      <c r="B296"/>
      <c r="C296"/>
      <c r="D296"/>
      <c r="E296"/>
      <c r="F296" s="50"/>
      <c r="G296" s="116"/>
      <c r="H296" s="116"/>
      <c r="I296"/>
      <c r="J296"/>
      <c r="K296"/>
    </row>
    <row r="297" spans="1:11" ht="13.5" x14ac:dyDescent="0.2">
      <c r="A297" s="50"/>
      <c r="B297"/>
      <c r="C297"/>
      <c r="D297"/>
      <c r="E297"/>
      <c r="F297" s="50"/>
      <c r="G297"/>
      <c r="H297"/>
      <c r="I297" s="114"/>
      <c r="J297"/>
      <c r="K297"/>
    </row>
    <row r="298" spans="1:11" ht="13.5" x14ac:dyDescent="0.2">
      <c r="A298" s="50"/>
      <c r="B298"/>
      <c r="C298"/>
      <c r="D298"/>
      <c r="E298"/>
      <c r="F298" s="50"/>
      <c r="G298"/>
      <c r="H298"/>
      <c r="I298" s="114"/>
      <c r="J298"/>
      <c r="K298"/>
    </row>
    <row r="299" spans="1:11" ht="13.5" x14ac:dyDescent="0.2">
      <c r="A299" s="50"/>
      <c r="B299" s="50"/>
      <c r="C299" s="50"/>
      <c r="D299" s="50"/>
      <c r="E299" s="50"/>
      <c r="F299" s="50"/>
      <c r="G299" s="114"/>
      <c r="H299"/>
      <c r="I299"/>
      <c r="J299"/>
      <c r="K299"/>
    </row>
    <row r="300" spans="1:11" x14ac:dyDescent="0.2">
      <c r="G300" s="114"/>
      <c r="H300"/>
      <c r="I300"/>
      <c r="J300"/>
      <c r="K300"/>
    </row>
    <row r="301" spans="1:11" x14ac:dyDescent="0.2">
      <c r="G301" s="114"/>
      <c r="H301" s="114"/>
      <c r="I301"/>
      <c r="J301"/>
      <c r="K301"/>
    </row>
    <row r="302" spans="1:11" x14ac:dyDescent="0.2">
      <c r="G302"/>
      <c r="H302"/>
      <c r="I302" s="114"/>
      <c r="J302"/>
      <c r="K302"/>
    </row>
    <row r="303" spans="1:11" x14ac:dyDescent="0.2">
      <c r="G303" s="117"/>
      <c r="H303"/>
      <c r="I303"/>
      <c r="J303"/>
      <c r="K303"/>
    </row>
    <row r="304" spans="1:11" x14ac:dyDescent="0.2">
      <c r="G304" s="117"/>
      <c r="H304"/>
      <c r="I304"/>
      <c r="J304"/>
      <c r="K304"/>
    </row>
    <row r="305" spans="7:11" x14ac:dyDescent="0.2">
      <c r="G305" s="117"/>
      <c r="H305"/>
      <c r="I305"/>
      <c r="J305"/>
      <c r="K305"/>
    </row>
    <row r="306" spans="7:11" x14ac:dyDescent="0.2">
      <c r="G306" s="114"/>
      <c r="H306"/>
      <c r="I306"/>
      <c r="J306"/>
      <c r="K306"/>
    </row>
    <row r="307" spans="7:11" x14ac:dyDescent="0.2">
      <c r="G307" s="114"/>
      <c r="H307" s="114"/>
      <c r="I307"/>
      <c r="J307"/>
      <c r="K307"/>
    </row>
    <row r="308" spans="7:11" x14ac:dyDescent="0.2">
      <c r="G308" s="114"/>
      <c r="H308"/>
      <c r="I308"/>
      <c r="J308"/>
      <c r="K308"/>
    </row>
    <row r="309" spans="7:11" x14ac:dyDescent="0.2">
      <c r="G309"/>
      <c r="H309" s="114"/>
      <c r="I309"/>
      <c r="J309"/>
      <c r="K309"/>
    </row>
    <row r="310" spans="7:11" x14ac:dyDescent="0.2">
      <c r="G310" s="114"/>
      <c r="H310"/>
      <c r="I310"/>
      <c r="J310"/>
      <c r="K310"/>
    </row>
  </sheetData>
  <sheetProtection algorithmName="SHA-512" hashValue="0YPvBCOPgSDuUW5WlAgGv3Gdhy+cKBF6aq6UfYf2IPbxhrx49a6e/W9eoc4Z/VLdhhFPorLNl/uJjZFJRP/kag==" saltValue="EaDvJEtYEdItNVXxO85+Rw==" spinCount="100000" sheet="1" selectLockedCells="1" selectUnlockedCells="1"/>
  <sortState xmlns:xlrd2="http://schemas.microsoft.com/office/spreadsheetml/2017/richdata2" ref="A282:F289">
    <sortCondition ref="D283:D289"/>
  </sortState>
  <pageMargins left="0.7" right="0.7" top="0.75" bottom="0.75" header="0.3" footer="0.3"/>
  <pageSetup orientation="portrait" r:id="rId1"/>
  <ignoredErrors>
    <ignoredError sqref="F64:F6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39" t="s">
        <v>1785</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row>
    <row r="2" spans="1:33" ht="12.75" customHeight="1" x14ac:dyDescent="0.2">
      <c r="A2" s="198"/>
      <c r="B2" s="15"/>
      <c r="C2" s="15"/>
      <c r="D2" s="15"/>
      <c r="E2" s="15"/>
      <c r="F2" s="15"/>
      <c r="G2" s="15"/>
      <c r="H2" s="15"/>
      <c r="I2" s="15"/>
      <c r="J2" s="15"/>
      <c r="K2" s="15"/>
      <c r="L2" s="15"/>
      <c r="M2" s="15"/>
      <c r="N2" s="15"/>
      <c r="O2" s="15"/>
      <c r="P2" s="15"/>
      <c r="Q2" s="15"/>
      <c r="R2" s="15"/>
      <c r="S2" s="15"/>
      <c r="T2" s="15"/>
      <c r="U2" s="15"/>
      <c r="V2" s="15"/>
      <c r="W2" s="15"/>
    </row>
    <row r="3" spans="1:33" x14ac:dyDescent="0.2">
      <c r="A3" t="s">
        <v>1786</v>
      </c>
      <c r="H3" s="441">
        <f>CMDS!G2</f>
        <v>0</v>
      </c>
      <c r="I3" s="273"/>
      <c r="J3" s="273"/>
      <c r="K3" s="273"/>
      <c r="L3" s="273"/>
      <c r="M3" s="273"/>
      <c r="N3" s="273"/>
      <c r="O3" s="273"/>
      <c r="P3" s="273"/>
    </row>
    <row r="4" spans="1:33" x14ac:dyDescent="0.2">
      <c r="A4" t="s">
        <v>1787</v>
      </c>
      <c r="G4" s="441">
        <f>CMDS!G5</f>
        <v>0</v>
      </c>
      <c r="H4" s="273"/>
      <c r="I4" s="273"/>
      <c r="J4" s="273"/>
      <c r="K4" s="273"/>
      <c r="L4" s="273"/>
      <c r="M4" s="273"/>
      <c r="N4" s="273"/>
    </row>
    <row r="5" spans="1:33" x14ac:dyDescent="0.2">
      <c r="A5" t="s">
        <v>1788</v>
      </c>
      <c r="F5" s="273" t="str">
        <f>CMDS!V6</f>
        <v>501 QC/QA PCCP</v>
      </c>
      <c r="G5" s="273"/>
      <c r="H5" s="273"/>
      <c r="I5" s="273"/>
      <c r="J5" s="273"/>
      <c r="K5" s="273"/>
      <c r="L5" s="273"/>
      <c r="M5" s="273"/>
    </row>
    <row r="7" spans="1:33" x14ac:dyDescent="0.2">
      <c r="A7" t="s">
        <v>1789</v>
      </c>
      <c r="G7" s="823">
        <f>CMDS!E30</f>
        <v>0</v>
      </c>
      <c r="H7" s="273"/>
      <c r="I7" s="273"/>
    </row>
    <row r="8" spans="1:33" x14ac:dyDescent="0.2">
      <c r="A8" t="s">
        <v>1790</v>
      </c>
      <c r="G8" s="331">
        <f>CMDS!E31+CMDS!E32+CMDS!E33</f>
        <v>0</v>
      </c>
      <c r="H8" s="253"/>
      <c r="I8" s="253"/>
    </row>
    <row r="9" spans="1:33" x14ac:dyDescent="0.2">
      <c r="G9" s="1"/>
      <c r="H9" s="1"/>
      <c r="I9" s="1"/>
    </row>
    <row r="10" spans="1:33" x14ac:dyDescent="0.2">
      <c r="A10" s="5" t="s">
        <v>1791</v>
      </c>
    </row>
    <row r="11" spans="1:33" x14ac:dyDescent="0.2">
      <c r="A11" t="s">
        <v>1792</v>
      </c>
    </row>
    <row r="12" spans="1:33" x14ac:dyDescent="0.2">
      <c r="A12" t="s">
        <v>1793</v>
      </c>
    </row>
    <row r="14" spans="1:33" x14ac:dyDescent="0.2">
      <c r="A14" s="266" t="s">
        <v>1794</v>
      </c>
      <c r="B14" s="267"/>
      <c r="C14" s="267"/>
      <c r="D14" s="267"/>
      <c r="E14" s="267"/>
      <c r="F14" s="278"/>
      <c r="G14" s="266" t="s">
        <v>1795</v>
      </c>
      <c r="H14" s="267"/>
      <c r="I14" s="278"/>
      <c r="J14" s="266" t="s">
        <v>1796</v>
      </c>
      <c r="K14" s="267"/>
      <c r="L14" s="278"/>
      <c r="M14" s="266" t="s">
        <v>10</v>
      </c>
      <c r="N14" s="267"/>
      <c r="O14" s="267"/>
      <c r="P14" s="278"/>
      <c r="Q14" s="431" t="s">
        <v>61</v>
      </c>
      <c r="R14" s="278"/>
      <c r="S14" s="266" t="s">
        <v>61</v>
      </c>
      <c r="T14" s="278"/>
      <c r="U14" s="825" t="s">
        <v>1797</v>
      </c>
      <c r="V14" s="587"/>
      <c r="W14" s="731"/>
      <c r="X14" s="266" t="s">
        <v>1798</v>
      </c>
      <c r="Y14" s="267"/>
      <c r="Z14" s="267"/>
      <c r="AA14" s="267"/>
      <c r="AB14" s="267"/>
      <c r="AC14" s="267"/>
      <c r="AD14" s="267"/>
      <c r="AE14" s="267"/>
      <c r="AF14" s="267"/>
      <c r="AG14" s="278"/>
    </row>
    <row r="15" spans="1:33" x14ac:dyDescent="0.2">
      <c r="A15" s="16"/>
      <c r="B15" s="199"/>
      <c r="C15" s="199"/>
      <c r="D15" s="199"/>
      <c r="E15" s="199"/>
      <c r="F15" s="199"/>
      <c r="G15" s="272" t="s">
        <v>1799</v>
      </c>
      <c r="H15" s="273"/>
      <c r="I15" s="345"/>
      <c r="J15" s="272" t="s">
        <v>1800</v>
      </c>
      <c r="K15" s="273"/>
      <c r="L15" s="345"/>
      <c r="M15" s="272" t="s">
        <v>1801</v>
      </c>
      <c r="N15" s="273"/>
      <c r="O15" s="273"/>
      <c r="P15" s="345"/>
      <c r="Q15" s="272" t="s">
        <v>1802</v>
      </c>
      <c r="R15" s="345"/>
      <c r="S15" s="822" t="s">
        <v>1803</v>
      </c>
      <c r="T15" s="345"/>
      <c r="U15" s="826" t="s">
        <v>1804</v>
      </c>
      <c r="V15" s="515"/>
      <c r="W15" s="516"/>
      <c r="X15" s="16"/>
      <c r="Y15" s="199"/>
      <c r="Z15" s="199"/>
      <c r="AA15" s="199"/>
      <c r="AB15" s="199"/>
      <c r="AC15" s="199"/>
      <c r="AD15" s="199"/>
      <c r="AE15" s="199"/>
      <c r="AF15" s="199"/>
      <c r="AG15" s="17"/>
    </row>
    <row r="16" spans="1:33" ht="25.5" customHeight="1" x14ac:dyDescent="0.2">
      <c r="A16" s="824">
        <f>CMDS!V3</f>
        <v>0</v>
      </c>
      <c r="B16" s="810"/>
      <c r="C16" s="810"/>
      <c r="D16" s="810"/>
      <c r="E16" s="810"/>
      <c r="F16" s="810"/>
      <c r="G16" s="811">
        <f>CMDS!Z47</f>
        <v>0</v>
      </c>
      <c r="H16" s="811"/>
      <c r="I16" s="811"/>
      <c r="J16" s="250">
        <f>CMDS!V2</f>
        <v>0</v>
      </c>
      <c r="K16" s="250"/>
      <c r="L16" s="250"/>
      <c r="M16" s="250" t="str">
        <f>CMDS!G6</f>
        <v>Mix ID Required</v>
      </c>
      <c r="N16" s="250"/>
      <c r="O16" s="250"/>
      <c r="P16" s="250"/>
      <c r="Q16" s="317" t="e">
        <f>CMDS!AA38</f>
        <v>#DIV/0!</v>
      </c>
      <c r="R16" s="319"/>
      <c r="S16" s="374" t="str">
        <f>CMDS!AA39</f>
        <v>ERROR!</v>
      </c>
      <c r="T16" s="376"/>
      <c r="U16" s="819">
        <f>CMDS!Z48</f>
        <v>0</v>
      </c>
      <c r="V16" s="820"/>
      <c r="W16" s="821"/>
      <c r="X16" s="827"/>
      <c r="Y16" s="814"/>
      <c r="Z16" s="814"/>
      <c r="AA16" s="814"/>
      <c r="AB16" s="814"/>
      <c r="AC16" s="814"/>
      <c r="AD16" s="814"/>
      <c r="AE16" s="814"/>
      <c r="AF16" s="814"/>
      <c r="AG16" s="815"/>
    </row>
    <row r="17" spans="1:33" ht="25.5" customHeight="1" x14ac:dyDescent="0.2">
      <c r="A17" s="810"/>
      <c r="B17" s="810"/>
      <c r="C17" s="810"/>
      <c r="D17" s="810"/>
      <c r="E17" s="810"/>
      <c r="F17" s="810"/>
      <c r="G17" s="811"/>
      <c r="H17" s="811"/>
      <c r="I17" s="811"/>
      <c r="J17" s="250"/>
      <c r="K17" s="250"/>
      <c r="L17" s="250"/>
      <c r="M17" s="250"/>
      <c r="N17" s="250"/>
      <c r="O17" s="250"/>
      <c r="P17" s="250"/>
      <c r="Q17" s="317"/>
      <c r="R17" s="319"/>
      <c r="S17" s="374"/>
      <c r="T17" s="376"/>
      <c r="U17" s="816"/>
      <c r="V17" s="817"/>
      <c r="W17" s="818"/>
      <c r="X17" s="813"/>
      <c r="Y17" s="814"/>
      <c r="Z17" s="814"/>
      <c r="AA17" s="814"/>
      <c r="AB17" s="814"/>
      <c r="AC17" s="814"/>
      <c r="AD17" s="814"/>
      <c r="AE17" s="814"/>
      <c r="AF17" s="814"/>
      <c r="AG17" s="815"/>
    </row>
    <row r="18" spans="1:33" ht="25.5" customHeight="1" x14ac:dyDescent="0.2">
      <c r="A18" s="810"/>
      <c r="B18" s="810"/>
      <c r="C18" s="810"/>
      <c r="D18" s="810"/>
      <c r="E18" s="810"/>
      <c r="F18" s="810"/>
      <c r="G18" s="811"/>
      <c r="H18" s="811"/>
      <c r="I18" s="811"/>
      <c r="J18" s="250"/>
      <c r="K18" s="250"/>
      <c r="L18" s="250"/>
      <c r="M18" s="250"/>
      <c r="N18" s="250"/>
      <c r="O18" s="250"/>
      <c r="P18" s="250"/>
      <c r="Q18" s="317"/>
      <c r="R18" s="319"/>
      <c r="S18" s="374"/>
      <c r="T18" s="376"/>
      <c r="U18" s="816"/>
      <c r="V18" s="817"/>
      <c r="W18" s="818"/>
      <c r="X18" s="813"/>
      <c r="Y18" s="814"/>
      <c r="Z18" s="814"/>
      <c r="AA18" s="814"/>
      <c r="AB18" s="814"/>
      <c r="AC18" s="814"/>
      <c r="AD18" s="814"/>
      <c r="AE18" s="814"/>
      <c r="AF18" s="814"/>
      <c r="AG18" s="815"/>
    </row>
    <row r="19" spans="1:33" ht="25.5" customHeight="1" x14ac:dyDescent="0.2">
      <c r="A19" s="810"/>
      <c r="B19" s="810"/>
      <c r="C19" s="810"/>
      <c r="D19" s="810"/>
      <c r="E19" s="810"/>
      <c r="F19" s="810"/>
      <c r="G19" s="811"/>
      <c r="H19" s="811"/>
      <c r="I19" s="811"/>
      <c r="J19" s="250"/>
      <c r="K19" s="250"/>
      <c r="L19" s="250"/>
      <c r="M19" s="250"/>
      <c r="N19" s="250"/>
      <c r="O19" s="250"/>
      <c r="P19" s="250"/>
      <c r="Q19" s="317"/>
      <c r="R19" s="319"/>
      <c r="S19" s="374"/>
      <c r="T19" s="376"/>
      <c r="U19" s="816"/>
      <c r="V19" s="817"/>
      <c r="W19" s="818"/>
      <c r="X19" s="813"/>
      <c r="Y19" s="814"/>
      <c r="Z19" s="814"/>
      <c r="AA19" s="814"/>
      <c r="AB19" s="814"/>
      <c r="AC19" s="814"/>
      <c r="AD19" s="814"/>
      <c r="AE19" s="814"/>
      <c r="AF19" s="814"/>
      <c r="AG19" s="815"/>
    </row>
    <row r="20" spans="1:33" ht="25.5" customHeight="1" x14ac:dyDescent="0.2">
      <c r="A20" s="810"/>
      <c r="B20" s="810"/>
      <c r="C20" s="810"/>
      <c r="D20" s="810"/>
      <c r="E20" s="810"/>
      <c r="F20" s="810"/>
      <c r="G20" s="811"/>
      <c r="H20" s="811"/>
      <c r="I20" s="811"/>
      <c r="J20" s="250"/>
      <c r="K20" s="250"/>
      <c r="L20" s="250"/>
      <c r="M20" s="250"/>
      <c r="N20" s="250"/>
      <c r="O20" s="250"/>
      <c r="P20" s="250"/>
      <c r="Q20" s="317"/>
      <c r="R20" s="319"/>
      <c r="S20" s="374"/>
      <c r="T20" s="376"/>
      <c r="U20" s="816"/>
      <c r="V20" s="817"/>
      <c r="W20" s="818"/>
      <c r="X20" s="813"/>
      <c r="Y20" s="814"/>
      <c r="Z20" s="814"/>
      <c r="AA20" s="814"/>
      <c r="AB20" s="814"/>
      <c r="AC20" s="814"/>
      <c r="AD20" s="814"/>
      <c r="AE20" s="814"/>
      <c r="AF20" s="814"/>
      <c r="AG20" s="815"/>
    </row>
    <row r="21" spans="1:33" ht="25.5" customHeight="1" x14ac:dyDescent="0.2">
      <c r="A21" s="810"/>
      <c r="B21" s="810"/>
      <c r="C21" s="810"/>
      <c r="D21" s="810"/>
      <c r="E21" s="810"/>
      <c r="F21" s="810"/>
      <c r="G21" s="811"/>
      <c r="H21" s="811"/>
      <c r="I21" s="811"/>
      <c r="J21" s="250"/>
      <c r="K21" s="250"/>
      <c r="L21" s="250"/>
      <c r="M21" s="250"/>
      <c r="N21" s="250"/>
      <c r="O21" s="250"/>
      <c r="P21" s="250"/>
      <c r="Q21" s="809"/>
      <c r="R21" s="809"/>
      <c r="S21" s="812"/>
      <c r="T21" s="812"/>
      <c r="U21" s="811"/>
      <c r="V21" s="811"/>
      <c r="W21" s="811"/>
      <c r="X21" s="810"/>
      <c r="Y21" s="810"/>
      <c r="Z21" s="810"/>
      <c r="AA21" s="810"/>
      <c r="AB21" s="810"/>
      <c r="AC21" s="810"/>
      <c r="AD21" s="810"/>
      <c r="AE21" s="810"/>
      <c r="AF21" s="810"/>
      <c r="AG21" s="810"/>
    </row>
    <row r="22" spans="1:33" ht="25.5" customHeight="1" x14ac:dyDescent="0.2">
      <c r="A22" s="810"/>
      <c r="B22" s="810"/>
      <c r="C22" s="810"/>
      <c r="D22" s="810"/>
      <c r="E22" s="810"/>
      <c r="F22" s="810"/>
      <c r="G22" s="811"/>
      <c r="H22" s="811"/>
      <c r="I22" s="811"/>
      <c r="J22" s="250"/>
      <c r="K22" s="250"/>
      <c r="L22" s="250"/>
      <c r="M22" s="250"/>
      <c r="N22" s="250"/>
      <c r="O22" s="250"/>
      <c r="P22" s="250"/>
      <c r="Q22" s="809"/>
      <c r="R22" s="809"/>
      <c r="S22" s="812"/>
      <c r="T22" s="812"/>
      <c r="U22" s="811"/>
      <c r="V22" s="811"/>
      <c r="W22" s="811"/>
      <c r="X22" s="810"/>
      <c r="Y22" s="810"/>
      <c r="Z22" s="810"/>
      <c r="AA22" s="810"/>
      <c r="AB22" s="810"/>
      <c r="AC22" s="810"/>
      <c r="AD22" s="810"/>
      <c r="AE22" s="810"/>
      <c r="AF22" s="810"/>
      <c r="AG22" s="810"/>
    </row>
    <row r="23" spans="1:33" ht="25.5" customHeight="1" x14ac:dyDescent="0.2">
      <c r="A23" s="810"/>
      <c r="B23" s="810"/>
      <c r="C23" s="810"/>
      <c r="D23" s="810"/>
      <c r="E23" s="810"/>
      <c r="F23" s="810"/>
      <c r="G23" s="811"/>
      <c r="H23" s="811"/>
      <c r="I23" s="811"/>
      <c r="J23" s="250"/>
      <c r="K23" s="250"/>
      <c r="L23" s="250"/>
      <c r="M23" s="250"/>
      <c r="N23" s="250"/>
      <c r="O23" s="250"/>
      <c r="P23" s="250"/>
      <c r="Q23" s="809"/>
      <c r="R23" s="809"/>
      <c r="S23" s="812"/>
      <c r="T23" s="812"/>
      <c r="U23" s="811"/>
      <c r="V23" s="811"/>
      <c r="W23" s="811"/>
      <c r="X23" s="810"/>
      <c r="Y23" s="810"/>
      <c r="Z23" s="810"/>
      <c r="AA23" s="810"/>
      <c r="AB23" s="810"/>
      <c r="AC23" s="810"/>
      <c r="AD23" s="810"/>
      <c r="AE23" s="810"/>
      <c r="AF23" s="810"/>
      <c r="AG23" s="810"/>
    </row>
    <row r="24" spans="1:33" ht="25.5" customHeight="1" x14ac:dyDescent="0.2">
      <c r="A24" s="810"/>
      <c r="B24" s="810"/>
      <c r="C24" s="810"/>
      <c r="D24" s="810"/>
      <c r="E24" s="810"/>
      <c r="F24" s="810"/>
      <c r="G24" s="811"/>
      <c r="H24" s="811"/>
      <c r="I24" s="811"/>
      <c r="J24" s="250"/>
      <c r="K24" s="250"/>
      <c r="L24" s="250"/>
      <c r="M24" s="250"/>
      <c r="N24" s="250"/>
      <c r="O24" s="250"/>
      <c r="P24" s="250"/>
      <c r="Q24" s="809"/>
      <c r="R24" s="809"/>
      <c r="S24" s="812"/>
      <c r="T24" s="812"/>
      <c r="U24" s="811"/>
      <c r="V24" s="811"/>
      <c r="W24" s="811"/>
      <c r="X24" s="810"/>
      <c r="Y24" s="810"/>
      <c r="Z24" s="810"/>
      <c r="AA24" s="810"/>
      <c r="AB24" s="810"/>
      <c r="AC24" s="810"/>
      <c r="AD24" s="810"/>
      <c r="AE24" s="810"/>
      <c r="AF24" s="810"/>
      <c r="AG24" s="810"/>
    </row>
    <row r="25" spans="1:33" ht="25.5" customHeight="1" x14ac:dyDescent="0.2">
      <c r="A25" s="810"/>
      <c r="B25" s="810"/>
      <c r="C25" s="810"/>
      <c r="D25" s="810"/>
      <c r="E25" s="810"/>
      <c r="F25" s="810"/>
      <c r="G25" s="811"/>
      <c r="H25" s="811"/>
      <c r="I25" s="811"/>
      <c r="J25" s="250"/>
      <c r="K25" s="250"/>
      <c r="L25" s="250"/>
      <c r="M25" s="250"/>
      <c r="N25" s="250"/>
      <c r="O25" s="250"/>
      <c r="P25" s="250"/>
      <c r="Q25" s="809"/>
      <c r="R25" s="809"/>
      <c r="S25" s="812"/>
      <c r="T25" s="812"/>
      <c r="U25" s="811"/>
      <c r="V25" s="811"/>
      <c r="W25" s="811"/>
      <c r="X25" s="810"/>
      <c r="Y25" s="810"/>
      <c r="Z25" s="810"/>
      <c r="AA25" s="810"/>
      <c r="AB25" s="810"/>
      <c r="AC25" s="810"/>
      <c r="AD25" s="810"/>
      <c r="AE25" s="810"/>
      <c r="AF25" s="810"/>
      <c r="AG25" s="810"/>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2" type="noConversion"/>
  <pageMargins left="0.75" right="0.75" top="1" bottom="1" header="0.5" footer="0.5"/>
  <pageSetup scale="9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4" ma:contentTypeDescription="Create a new document." ma:contentTypeScope="" ma:versionID="8ed06c4033089c7f960ed8332604aa66">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868d87f5bea3cc5204956c5eb90040c1"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A9674D-B306-41D6-9973-77DF001E9C29}">
  <ds:schemaRefs>
    <ds:schemaRef ds:uri="http://schemas.microsoft.com/office/2006/metadata/properties"/>
    <ds:schemaRef ds:uri="http://schemas.microsoft.com/office/infopath/2007/PartnerControls"/>
    <ds:schemaRef ds:uri="a8661a92-3d43-470a-8e87-2fbcd69c62a4"/>
    <ds:schemaRef ds:uri="446cb2fe-71e4-4ae0-9943-2ea0a627a59c"/>
  </ds:schemaRefs>
</ds:datastoreItem>
</file>

<file path=customXml/itemProps2.xml><?xml version="1.0" encoding="utf-8"?>
<ds:datastoreItem xmlns:ds="http://schemas.openxmlformats.org/officeDocument/2006/customXml" ds:itemID="{95F7F6D4-81FC-4839-94BF-C3D047E788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CD4FBD-8E23-4999-9496-88DFE8C78E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TRIAL BATCH WORKSHEET</vt:lpstr>
      <vt:lpstr>CMDS</vt:lpstr>
      <vt:lpstr>FBMD</vt:lpstr>
      <vt:lpstr>Gradation</vt:lpstr>
      <vt:lpstr>Sheet2</vt:lpstr>
      <vt:lpstr>AGG SOURCES</vt:lpstr>
      <vt:lpstr>CEMENT &amp; POZZOLAN SOURCES</vt:lpstr>
      <vt:lpstr>ADMIXTURES</vt:lpstr>
      <vt:lpstr>Contract Approval Log</vt:lpstr>
      <vt:lpstr>ADMIXTURES!OLE_LINK1</vt:lpstr>
      <vt:lpstr>CMDS!Print_Area</vt:lpstr>
      <vt:lpstr>'Contract Approval Log'!Print_Area</vt:lpstr>
      <vt:lpstr>FBMD!Print_Area</vt:lpstr>
      <vt:lpstr>Gradation!Print_Area</vt:lpstr>
      <vt:lpstr>Sheet2!Print_Area</vt:lpstr>
      <vt:lpstr>'TRIAL BATCH WORKSHEET'!Print_Area</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2023-04-19T17:46:39Z</cp:lastPrinted>
  <dcterms:created xsi:type="dcterms:W3CDTF">2005-02-10T20:23:45Z</dcterms:created>
  <dcterms:modified xsi:type="dcterms:W3CDTF">2023-10-12T10:53:06Z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